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720" yWindow="465" windowWidth="22755" windowHeight="8925" tabRatio="944" activeTab="4"/>
  </bookViews>
  <sheets>
    <sheet name="Journal Entries TGOP" sheetId="4" r:id="rId1"/>
    <sheet name="Journal Entries TNP" sheetId="7" r:id="rId2"/>
    <sheet name="75 TGOP - LEA in SFS" sheetId="1" r:id="rId3"/>
    <sheet name="75 TN Plan LEA with Prop Sha" sheetId="2" r:id="rId4"/>
    <sheet name="75 TN Plan LEA with 0% Prop Sha" sheetId="3" r:id="rId5"/>
    <sheet name="LEA Pre-65 (1)" sheetId="8" r:id="rId6"/>
    <sheet name="LEA Pre-65 (2)" sheetId="9" r:id="rId7"/>
    <sheet name="LEA Post-65 (1)" sheetId="10" r:id="rId8"/>
    <sheet name="LEA Post-65 (2)" sheetId="11" r:id="rId9"/>
  </sheets>
  <externalReferences>
    <externalReference r:id="rId10"/>
  </externalReferences>
  <calcPr calcId="145621"/>
</workbook>
</file>

<file path=xl/calcChain.xml><?xml version="1.0" encoding="utf-8"?>
<calcChain xmlns="http://schemas.openxmlformats.org/spreadsheetml/2006/main">
  <c r="E184" i="1" l="1"/>
  <c r="E160" i="3" l="1"/>
  <c r="E158" i="3"/>
  <c r="E155" i="3"/>
  <c r="E153" i="3"/>
  <c r="E152" i="3"/>
  <c r="E151" i="3"/>
  <c r="E150" i="3"/>
  <c r="E149" i="3"/>
  <c r="E148" i="3"/>
  <c r="E154" i="3" s="1"/>
  <c r="D137" i="3"/>
  <c r="I125" i="3"/>
  <c r="G125" i="3"/>
  <c r="E125" i="3"/>
  <c r="D110" i="3"/>
  <c r="D109" i="3"/>
  <c r="F104" i="3"/>
  <c r="F102" i="3"/>
  <c r="F100" i="3"/>
  <c r="F96" i="3"/>
  <c r="F95" i="3"/>
  <c r="F94" i="3"/>
  <c r="F93" i="3"/>
  <c r="F92" i="3"/>
  <c r="F91" i="3"/>
  <c r="F89" i="3"/>
  <c r="G67" i="3"/>
  <c r="G65" i="3"/>
  <c r="G63" i="3"/>
  <c r="E188" i="2"/>
  <c r="E186" i="2"/>
  <c r="E183" i="2"/>
  <c r="E181" i="2"/>
  <c r="E180" i="2"/>
  <c r="E179" i="2"/>
  <c r="E178" i="2"/>
  <c r="E177" i="2"/>
  <c r="E176" i="2"/>
  <c r="F166" i="2"/>
  <c r="F165" i="2"/>
  <c r="F164" i="2"/>
  <c r="F163" i="2"/>
  <c r="F162" i="2"/>
  <c r="F161" i="2"/>
  <c r="I149" i="2"/>
  <c r="I148" i="2"/>
  <c r="G151" i="2"/>
  <c r="G149" i="2"/>
  <c r="G148" i="2"/>
  <c r="D140" i="2"/>
  <c r="F51" i="1" s="1"/>
  <c r="I133" i="2"/>
  <c r="E133" i="2"/>
  <c r="G133" i="2"/>
  <c r="I128" i="2"/>
  <c r="E128" i="2"/>
  <c r="G128" i="2"/>
  <c r="D113" i="2"/>
  <c r="D112" i="2"/>
  <c r="F107" i="2"/>
  <c r="F105" i="2"/>
  <c r="C51" i="1" s="1"/>
  <c r="F103" i="2"/>
  <c r="F99" i="2"/>
  <c r="F98" i="2"/>
  <c r="F97" i="2"/>
  <c r="F96" i="2"/>
  <c r="F95" i="2"/>
  <c r="F94" i="2"/>
  <c r="F92" i="2"/>
  <c r="D72" i="2"/>
  <c r="D76" i="1"/>
  <c r="G66" i="2"/>
  <c r="G64" i="2"/>
  <c r="G62" i="2"/>
  <c r="BI18" i="11"/>
  <c r="BI19" i="11"/>
  <c r="BI20" i="11"/>
  <c r="BI21" i="11"/>
  <c r="BI22" i="11"/>
  <c r="BI23" i="11"/>
  <c r="BI24" i="11"/>
  <c r="BI25" i="11"/>
  <c r="BI26" i="11"/>
  <c r="BI27" i="11"/>
  <c r="BI28" i="11"/>
  <c r="BI29" i="11"/>
  <c r="BI30" i="11"/>
  <c r="BI31" i="11"/>
  <c r="BI32" i="11"/>
  <c r="BI33" i="11"/>
  <c r="BI34" i="11"/>
  <c r="BI35" i="11"/>
  <c r="BI36" i="11"/>
  <c r="BI37" i="11"/>
  <c r="BI38" i="11"/>
  <c r="BI39" i="11"/>
  <c r="BI40" i="11"/>
  <c r="BI41" i="11"/>
  <c r="BI42" i="11"/>
  <c r="BI43" i="11"/>
  <c r="BI44" i="11"/>
  <c r="BI45" i="11"/>
  <c r="BI46" i="11"/>
  <c r="BI47" i="11"/>
  <c r="BI48" i="11"/>
  <c r="BI49" i="11"/>
  <c r="BI50" i="11"/>
  <c r="BI51" i="11"/>
  <c r="BI52" i="11"/>
  <c r="BI53" i="11"/>
  <c r="BI54" i="11"/>
  <c r="BI55" i="11"/>
  <c r="BI56" i="11"/>
  <c r="BI57" i="11"/>
  <c r="BI58" i="11"/>
  <c r="BI59" i="11"/>
  <c r="BI60" i="11"/>
  <c r="BI61" i="11"/>
  <c r="BI62" i="11"/>
  <c r="BI63" i="11"/>
  <c r="BI64" i="11"/>
  <c r="BI65" i="11"/>
  <c r="BI66" i="11"/>
  <c r="BI67" i="11"/>
  <c r="BI68" i="11"/>
  <c r="BI69" i="11"/>
  <c r="BI70" i="11"/>
  <c r="BI71" i="11"/>
  <c r="BI72" i="11"/>
  <c r="BI73" i="11"/>
  <c r="BI74" i="11"/>
  <c r="BI75" i="11"/>
  <c r="BI76" i="11"/>
  <c r="BI77" i="11"/>
  <c r="BI78" i="11"/>
  <c r="BI79" i="11"/>
  <c r="BI80" i="11"/>
  <c r="BI81" i="11"/>
  <c r="BI82" i="11"/>
  <c r="BI83" i="11"/>
  <c r="BI84" i="11"/>
  <c r="BI85" i="11"/>
  <c r="BI86" i="11"/>
  <c r="BI87" i="11"/>
  <c r="BI88" i="11"/>
  <c r="BI89" i="11"/>
  <c r="BI90" i="11"/>
  <c r="BI91" i="11"/>
  <c r="BI92" i="11"/>
  <c r="BI93" i="11"/>
  <c r="BI94" i="11"/>
  <c r="BI95" i="11"/>
  <c r="BI96" i="11"/>
  <c r="BI97" i="11"/>
  <c r="BI98" i="11"/>
  <c r="BI99" i="11"/>
  <c r="BI100" i="11"/>
  <c r="BI101" i="11"/>
  <c r="BI102" i="11"/>
  <c r="BI103" i="11"/>
  <c r="BI104" i="11"/>
  <c r="BI105" i="11"/>
  <c r="BI106" i="11"/>
  <c r="BI107" i="11"/>
  <c r="BI108" i="11"/>
  <c r="BI109" i="11"/>
  <c r="BI110" i="11"/>
  <c r="BI111" i="11"/>
  <c r="BI112" i="11"/>
  <c r="BI113" i="11"/>
  <c r="BI114" i="11"/>
  <c r="BI115" i="11"/>
  <c r="BI116" i="11"/>
  <c r="BI117" i="11"/>
  <c r="BI118" i="11"/>
  <c r="BI119" i="11"/>
  <c r="BI120" i="11"/>
  <c r="BI121" i="11"/>
  <c r="BI122" i="11"/>
  <c r="BI123" i="11"/>
  <c r="BI124" i="11"/>
  <c r="BI125" i="11"/>
  <c r="BI126" i="11"/>
  <c r="BI127" i="11"/>
  <c r="BI128" i="11"/>
  <c r="BI129" i="11"/>
  <c r="BI130" i="11"/>
  <c r="BI131" i="11"/>
  <c r="BI132" i="11"/>
  <c r="BI133" i="11"/>
  <c r="BI134" i="11"/>
  <c r="BI135" i="11"/>
  <c r="BI136" i="11"/>
  <c r="BI137" i="11"/>
  <c r="BI138" i="11"/>
  <c r="BI139" i="11"/>
  <c r="BI140" i="11"/>
  <c r="BI141" i="11"/>
  <c r="BI142" i="11"/>
  <c r="BI143" i="11"/>
  <c r="BI144" i="11"/>
  <c r="BI145" i="11"/>
  <c r="BI146" i="11"/>
  <c r="BI147" i="11"/>
  <c r="BI148" i="11"/>
  <c r="BI149" i="11"/>
  <c r="BI150" i="11"/>
  <c r="BI151" i="11"/>
  <c r="BI152" i="11"/>
  <c r="BI153" i="11"/>
  <c r="BI154" i="11"/>
  <c r="BI155" i="11"/>
  <c r="BI156" i="11"/>
  <c r="BI157" i="11"/>
  <c r="BI158" i="11"/>
  <c r="BI159" i="11"/>
  <c r="BI160" i="11"/>
  <c r="BI161" i="11"/>
  <c r="BI162" i="11"/>
  <c r="BI163" i="11"/>
  <c r="BI164" i="11"/>
  <c r="BI165" i="11"/>
  <c r="BI166" i="11"/>
  <c r="BI167" i="11"/>
  <c r="BI168" i="11"/>
  <c r="BI169" i="11"/>
  <c r="BI170" i="11"/>
  <c r="BI171" i="11"/>
  <c r="BI172" i="11"/>
  <c r="BI173" i="11"/>
  <c r="BI174" i="11"/>
  <c r="BI175" i="11"/>
  <c r="BI176" i="11"/>
  <c r="BI177" i="11"/>
  <c r="BI6" i="11"/>
  <c r="BI7" i="11"/>
  <c r="BI8" i="11"/>
  <c r="BI9" i="11"/>
  <c r="BI10" i="11"/>
  <c r="BI11" i="11"/>
  <c r="BI12" i="11"/>
  <c r="BI13" i="11"/>
  <c r="BI14" i="11"/>
  <c r="BI15" i="11"/>
  <c r="BI16" i="11"/>
  <c r="BI17" i="11"/>
  <c r="I95" i="7" s="1"/>
  <c r="BI5" i="11"/>
  <c r="I92" i="7"/>
  <c r="F87" i="7"/>
  <c r="F82" i="7"/>
  <c r="I78" i="7"/>
  <c r="F52" i="7"/>
  <c r="I48" i="7"/>
  <c r="F42" i="7"/>
  <c r="V178" i="10"/>
  <c r="I38" i="7"/>
  <c r="I33" i="7"/>
  <c r="F32" i="7" s="1"/>
  <c r="F27" i="7"/>
  <c r="F22" i="7"/>
  <c r="I16" i="7"/>
  <c r="BH178" i="11" l="1"/>
  <c r="BG178" i="11"/>
  <c r="BF178" i="11"/>
  <c r="BE178" i="11"/>
  <c r="BD178" i="11"/>
  <c r="BC178" i="11"/>
  <c r="BB178" i="11"/>
  <c r="BA178" i="11"/>
  <c r="AZ178" i="11"/>
  <c r="AY178" i="11"/>
  <c r="AX178" i="11"/>
  <c r="AW178" i="11"/>
  <c r="AV178" i="11"/>
  <c r="AU178" i="11"/>
  <c r="AT178" i="11"/>
  <c r="AS178" i="11"/>
  <c r="AR178" i="11"/>
  <c r="AQ178" i="11"/>
  <c r="AP178" i="11"/>
  <c r="AO178" i="11"/>
  <c r="AN178" i="11"/>
  <c r="AM178" i="11"/>
  <c r="AL178" i="11"/>
  <c r="AK178" i="11"/>
  <c r="AJ178" i="11"/>
  <c r="AI178" i="11"/>
  <c r="AH178" i="11"/>
  <c r="AG178" i="11"/>
  <c r="AF178" i="11"/>
  <c r="AE178" i="11"/>
  <c r="AD178" i="11"/>
  <c r="AC178" i="11"/>
  <c r="AB178" i="11"/>
  <c r="AA178" i="11"/>
  <c r="Z178" i="11"/>
  <c r="Y178" i="11"/>
  <c r="X178" i="11"/>
  <c r="W178" i="11"/>
  <c r="V178" i="11"/>
  <c r="U178" i="11"/>
  <c r="T178" i="11"/>
  <c r="S178" i="11"/>
  <c r="R178" i="11"/>
  <c r="Q178" i="11"/>
  <c r="P178" i="11"/>
  <c r="O178" i="11"/>
  <c r="N178" i="11"/>
  <c r="M178" i="11"/>
  <c r="L178" i="11"/>
  <c r="K178" i="11"/>
  <c r="J178" i="11"/>
  <c r="I178" i="11"/>
  <c r="H178" i="11"/>
  <c r="G178" i="11"/>
  <c r="D178" i="11"/>
  <c r="C178" i="11"/>
  <c r="AG178" i="10"/>
  <c r="AF178" i="10"/>
  <c r="AE178" i="10"/>
  <c r="AD178" i="10"/>
  <c r="AC178" i="10"/>
  <c r="AB178" i="10"/>
  <c r="AA178" i="10"/>
  <c r="Z178" i="10"/>
  <c r="Y178" i="10"/>
  <c r="X178" i="10"/>
  <c r="W178" i="10"/>
  <c r="U178" i="10"/>
  <c r="T178" i="10"/>
  <c r="S178" i="10"/>
  <c r="R178" i="10"/>
  <c r="Q178" i="10"/>
  <c r="P178" i="10"/>
  <c r="O178" i="10"/>
  <c r="N178" i="10"/>
  <c r="M178" i="10"/>
  <c r="L178" i="10"/>
  <c r="K178" i="10"/>
  <c r="J178" i="10"/>
  <c r="I178" i="10"/>
  <c r="H178" i="10"/>
  <c r="G178" i="10"/>
  <c r="F178" i="10"/>
  <c r="E178" i="10"/>
  <c r="D178" i="10"/>
  <c r="C178" i="10"/>
  <c r="E196" i="1" l="1"/>
  <c r="E194" i="1"/>
  <c r="E191" i="1"/>
  <c r="E189" i="1"/>
  <c r="E188" i="1"/>
  <c r="E187" i="1"/>
  <c r="E186" i="1"/>
  <c r="E185" i="1"/>
  <c r="F171" i="1"/>
  <c r="F170" i="1"/>
  <c r="F169" i="1"/>
  <c r="F168" i="1"/>
  <c r="F167" i="1"/>
  <c r="F166" i="1"/>
  <c r="G156" i="1"/>
  <c r="I154" i="1"/>
  <c r="G154" i="1"/>
  <c r="I153" i="1"/>
  <c r="G153" i="1"/>
  <c r="D145" i="1"/>
  <c r="F50" i="1" s="1"/>
  <c r="F52" i="1" s="1"/>
  <c r="I138" i="1"/>
  <c r="E138" i="1"/>
  <c r="G138" i="1"/>
  <c r="I133" i="1"/>
  <c r="E133" i="1"/>
  <c r="G133" i="1"/>
  <c r="D118" i="1"/>
  <c r="D117" i="1"/>
  <c r="F110" i="1"/>
  <c r="C50" i="1" s="1"/>
  <c r="C52" i="1" s="1"/>
  <c r="F108" i="1"/>
  <c r="F104" i="1"/>
  <c r="F103" i="1"/>
  <c r="F102" i="1"/>
  <c r="F101" i="1"/>
  <c r="F100" i="1"/>
  <c r="F99" i="1"/>
  <c r="F97" i="1"/>
  <c r="G70" i="1"/>
  <c r="G68" i="1"/>
  <c r="G66" i="1"/>
  <c r="I93" i="4" l="1"/>
  <c r="F88" i="4"/>
  <c r="F83" i="4"/>
  <c r="I79" i="4"/>
  <c r="F52" i="4"/>
  <c r="I47" i="4"/>
  <c r="F41" i="4"/>
  <c r="I37" i="4"/>
  <c r="I32" i="4"/>
  <c r="F31" i="4" s="1"/>
  <c r="F26" i="4"/>
  <c r="F21" i="4"/>
  <c r="BG151" i="9" l="1"/>
  <c r="BF151" i="9"/>
  <c r="BE151" i="9"/>
  <c r="BD151" i="9"/>
  <c r="BC151" i="9"/>
  <c r="BB151" i="9"/>
  <c r="BA151" i="9"/>
  <c r="AZ151" i="9"/>
  <c r="AY151" i="9"/>
  <c r="AX151" i="9"/>
  <c r="AW151" i="9"/>
  <c r="AV151" i="9"/>
  <c r="AR151" i="9"/>
  <c r="AQ151" i="9"/>
  <c r="AP151" i="9"/>
  <c r="AO151" i="9"/>
  <c r="AN151" i="9"/>
  <c r="AM151" i="9"/>
  <c r="AL151" i="9"/>
  <c r="AK151" i="9"/>
  <c r="AJ151" i="9"/>
  <c r="AI151" i="9"/>
  <c r="AH151" i="9"/>
  <c r="AG151" i="9"/>
  <c r="AF151" i="9"/>
  <c r="AE151" i="9"/>
  <c r="AD151" i="9"/>
  <c r="AC151" i="9"/>
  <c r="AB151" i="9"/>
  <c r="AA151" i="9"/>
  <c r="Z151" i="9"/>
  <c r="Y151" i="9"/>
  <c r="X151" i="9"/>
  <c r="W151" i="9"/>
  <c r="V151" i="9"/>
  <c r="U151" i="9"/>
  <c r="T151" i="9"/>
  <c r="S151" i="9"/>
  <c r="R151" i="9"/>
  <c r="Q151" i="9"/>
  <c r="P151" i="9"/>
  <c r="O151" i="9"/>
  <c r="N151" i="9"/>
  <c r="M151" i="9"/>
  <c r="L151" i="9"/>
  <c r="K151" i="9"/>
  <c r="J151" i="9"/>
  <c r="I151" i="9"/>
  <c r="F151" i="9"/>
  <c r="G151" i="9" s="1"/>
  <c r="H151" i="9" s="1"/>
  <c r="E151" i="9"/>
  <c r="C150" i="9"/>
  <c r="D150" i="9" s="1"/>
  <c r="BH150" i="9" s="1"/>
  <c r="C149" i="9"/>
  <c r="D148" i="9"/>
  <c r="BH148" i="9" s="1"/>
  <c r="C148" i="9"/>
  <c r="C147" i="9"/>
  <c r="C146" i="9"/>
  <c r="D146" i="9" s="1"/>
  <c r="BH146" i="9" s="1"/>
  <c r="D145" i="9"/>
  <c r="BH145" i="9" s="1"/>
  <c r="C145" i="9"/>
  <c r="C144" i="9"/>
  <c r="D144" i="9" s="1"/>
  <c r="BH144" i="9" s="1"/>
  <c r="C143" i="9"/>
  <c r="D143" i="9" s="1"/>
  <c r="BH143" i="9" s="1"/>
  <c r="C142" i="9"/>
  <c r="D142" i="9" s="1"/>
  <c r="BH142" i="9" s="1"/>
  <c r="C141" i="9"/>
  <c r="D140" i="9"/>
  <c r="BH140" i="9" s="1"/>
  <c r="C140" i="9"/>
  <c r="C139" i="9"/>
  <c r="C138" i="9"/>
  <c r="D138" i="9" s="1"/>
  <c r="BH138" i="9" s="1"/>
  <c r="D137" i="9"/>
  <c r="BH137" i="9" s="1"/>
  <c r="C137" i="9"/>
  <c r="C136" i="9"/>
  <c r="D136" i="9" s="1"/>
  <c r="BH136" i="9" s="1"/>
  <c r="C135" i="9"/>
  <c r="C134" i="9"/>
  <c r="D134" i="9" s="1"/>
  <c r="BH134" i="9" s="1"/>
  <c r="C133" i="9"/>
  <c r="C132" i="9"/>
  <c r="D132" i="9" s="1"/>
  <c r="BH132" i="9" s="1"/>
  <c r="D131" i="9"/>
  <c r="C131" i="9"/>
  <c r="C130" i="9"/>
  <c r="D130" i="9" s="1"/>
  <c r="BH130" i="9" s="1"/>
  <c r="D129" i="9"/>
  <c r="C129" i="9"/>
  <c r="C128" i="9"/>
  <c r="D128" i="9" s="1"/>
  <c r="BH128" i="9" s="1"/>
  <c r="C127" i="9"/>
  <c r="D127" i="9" s="1"/>
  <c r="BH127" i="9" s="1"/>
  <c r="C126" i="9"/>
  <c r="D126" i="9" s="1"/>
  <c r="BH126" i="9" s="1"/>
  <c r="C125" i="9"/>
  <c r="D125" i="9" s="1"/>
  <c r="BH125" i="9" s="1"/>
  <c r="D124" i="9"/>
  <c r="BH124" i="9" s="1"/>
  <c r="C124" i="9"/>
  <c r="C123" i="9"/>
  <c r="D123" i="9" s="1"/>
  <c r="BH123" i="9" s="1"/>
  <c r="C122" i="9"/>
  <c r="D122" i="9" s="1"/>
  <c r="BH122" i="9" s="1"/>
  <c r="BI121" i="9"/>
  <c r="D121" i="9"/>
  <c r="BH121" i="9" s="1"/>
  <c r="C121" i="9"/>
  <c r="C120" i="9"/>
  <c r="D120" i="9" s="1"/>
  <c r="BH120" i="9" s="1"/>
  <c r="C119" i="9"/>
  <c r="D119" i="9" s="1"/>
  <c r="BH119" i="9" s="1"/>
  <c r="C118" i="9"/>
  <c r="D118" i="9" s="1"/>
  <c r="BH118" i="9" s="1"/>
  <c r="C117" i="9"/>
  <c r="C116" i="9"/>
  <c r="D116" i="9" s="1"/>
  <c r="BH116" i="9" s="1"/>
  <c r="C115" i="9"/>
  <c r="C114" i="9"/>
  <c r="D114" i="9" s="1"/>
  <c r="BH114" i="9" s="1"/>
  <c r="C113" i="9"/>
  <c r="D113" i="9" s="1"/>
  <c r="BH113" i="9" s="1"/>
  <c r="D112" i="9"/>
  <c r="BH112" i="9" s="1"/>
  <c r="C112" i="9"/>
  <c r="C111" i="9"/>
  <c r="D111" i="9" s="1"/>
  <c r="BH111" i="9" s="1"/>
  <c r="D110" i="9"/>
  <c r="BH110" i="9" s="1"/>
  <c r="C110" i="9"/>
  <c r="C109" i="9"/>
  <c r="C108" i="9"/>
  <c r="D108" i="9" s="1"/>
  <c r="BH108" i="9" s="1"/>
  <c r="C107" i="9"/>
  <c r="C106" i="9"/>
  <c r="D106" i="9" s="1"/>
  <c r="BH106" i="9" s="1"/>
  <c r="C105" i="9"/>
  <c r="D105" i="9" s="1"/>
  <c r="BH105" i="9" s="1"/>
  <c r="C104" i="9"/>
  <c r="D104" i="9" s="1"/>
  <c r="BH104" i="9" s="1"/>
  <c r="C103" i="9"/>
  <c r="C102" i="9"/>
  <c r="D102" i="9" s="1"/>
  <c r="BH102" i="9" s="1"/>
  <c r="C101" i="9"/>
  <c r="D100" i="9"/>
  <c r="BH100" i="9" s="1"/>
  <c r="C100" i="9"/>
  <c r="C99" i="9"/>
  <c r="D99" i="9" s="1"/>
  <c r="C98" i="9"/>
  <c r="D98" i="9" s="1"/>
  <c r="BH98" i="9" s="1"/>
  <c r="C97" i="9"/>
  <c r="D97" i="9" s="1"/>
  <c r="C96" i="9"/>
  <c r="D96" i="9" s="1"/>
  <c r="BH96" i="9" s="1"/>
  <c r="BI95" i="9"/>
  <c r="C95" i="9"/>
  <c r="D95" i="9" s="1"/>
  <c r="BH95" i="9" s="1"/>
  <c r="C94" i="9"/>
  <c r="D94" i="9" s="1"/>
  <c r="BH94" i="9" s="1"/>
  <c r="D93" i="9"/>
  <c r="BH93" i="9" s="1"/>
  <c r="C93" i="9"/>
  <c r="C92" i="9"/>
  <c r="D92" i="9" s="1"/>
  <c r="BH92" i="9" s="1"/>
  <c r="C91" i="9"/>
  <c r="D91" i="9" s="1"/>
  <c r="BH91" i="9" s="1"/>
  <c r="C90" i="9"/>
  <c r="D90" i="9" s="1"/>
  <c r="BH90" i="9" s="1"/>
  <c r="C89" i="9"/>
  <c r="C88" i="9"/>
  <c r="D88" i="9" s="1"/>
  <c r="BH88" i="9" s="1"/>
  <c r="C87" i="9"/>
  <c r="D87" i="9" s="1"/>
  <c r="BH87" i="9" s="1"/>
  <c r="C86" i="9"/>
  <c r="D86" i="9" s="1"/>
  <c r="BH86" i="9" s="1"/>
  <c r="C85" i="9"/>
  <c r="D84" i="9"/>
  <c r="BH84" i="9" s="1"/>
  <c r="C84" i="9"/>
  <c r="C83" i="9"/>
  <c r="C82" i="9"/>
  <c r="D82" i="9" s="1"/>
  <c r="BH82" i="9" s="1"/>
  <c r="D81" i="9"/>
  <c r="BH81" i="9" s="1"/>
  <c r="C81" i="9"/>
  <c r="C80" i="9"/>
  <c r="D80" i="9" s="1"/>
  <c r="BH80" i="9" s="1"/>
  <c r="C79" i="9"/>
  <c r="D79" i="9" s="1"/>
  <c r="BH79" i="9" s="1"/>
  <c r="C78" i="9"/>
  <c r="D78" i="9" s="1"/>
  <c r="BH78" i="9" s="1"/>
  <c r="C77" i="9"/>
  <c r="D76" i="9"/>
  <c r="BH76" i="9" s="1"/>
  <c r="C76" i="9"/>
  <c r="C75" i="9"/>
  <c r="C74" i="9"/>
  <c r="D74" i="9" s="1"/>
  <c r="BH74" i="9" s="1"/>
  <c r="D73" i="9"/>
  <c r="BH73" i="9" s="1"/>
  <c r="C73" i="9"/>
  <c r="C72" i="9"/>
  <c r="D72" i="9" s="1"/>
  <c r="BH72" i="9" s="1"/>
  <c r="C71" i="9"/>
  <c r="C70" i="9"/>
  <c r="D70" i="9" s="1"/>
  <c r="BH70" i="9" s="1"/>
  <c r="C69" i="9"/>
  <c r="C68" i="9"/>
  <c r="D68" i="9" s="1"/>
  <c r="BH68" i="9" s="1"/>
  <c r="D67" i="9"/>
  <c r="C67" i="9"/>
  <c r="C66" i="9"/>
  <c r="C65" i="9"/>
  <c r="C64" i="9"/>
  <c r="C63" i="9"/>
  <c r="D63" i="9" s="1"/>
  <c r="BH63" i="9" s="1"/>
  <c r="C62" i="9"/>
  <c r="C61" i="9"/>
  <c r="C60" i="9"/>
  <c r="C59" i="9"/>
  <c r="D59" i="9" s="1"/>
  <c r="BH59" i="9" s="1"/>
  <c r="C58" i="9"/>
  <c r="C57" i="9"/>
  <c r="C56" i="9"/>
  <c r="D55" i="9"/>
  <c r="BH55" i="9" s="1"/>
  <c r="C55" i="9"/>
  <c r="C54" i="9"/>
  <c r="D54" i="9" s="1"/>
  <c r="BH54" i="9" s="1"/>
  <c r="C53" i="9"/>
  <c r="C52" i="9"/>
  <c r="C51" i="9"/>
  <c r="D51" i="9" s="1"/>
  <c r="BH51" i="9" s="1"/>
  <c r="D50" i="9"/>
  <c r="BH50" i="9" s="1"/>
  <c r="C50" i="9"/>
  <c r="C49" i="9"/>
  <c r="C48" i="9"/>
  <c r="D47" i="9"/>
  <c r="BH47" i="9" s="1"/>
  <c r="C47" i="9"/>
  <c r="C46" i="9"/>
  <c r="D46" i="9" s="1"/>
  <c r="BH46" i="9" s="1"/>
  <c r="C45" i="9"/>
  <c r="C44" i="9"/>
  <c r="C43" i="9"/>
  <c r="D43" i="9" s="1"/>
  <c r="BH43" i="9" s="1"/>
  <c r="D42" i="9"/>
  <c r="BH42" i="9" s="1"/>
  <c r="C42" i="9"/>
  <c r="C41" i="9"/>
  <c r="C40" i="9"/>
  <c r="D39" i="9"/>
  <c r="BH39" i="9" s="1"/>
  <c r="C39" i="9"/>
  <c r="C38" i="9"/>
  <c r="D38" i="9" s="1"/>
  <c r="BH38" i="9" s="1"/>
  <c r="C37" i="9"/>
  <c r="C36" i="9"/>
  <c r="C35" i="9"/>
  <c r="D35" i="9" s="1"/>
  <c r="BH35" i="9" s="1"/>
  <c r="D34" i="9"/>
  <c r="BH34" i="9" s="1"/>
  <c r="C34" i="9"/>
  <c r="C33" i="9"/>
  <c r="C32" i="9"/>
  <c r="D31" i="9"/>
  <c r="BH31" i="9" s="1"/>
  <c r="C31" i="9"/>
  <c r="C30" i="9"/>
  <c r="D30" i="9" s="1"/>
  <c r="BH30" i="9" s="1"/>
  <c r="C29" i="9"/>
  <c r="C28" i="9"/>
  <c r="C27" i="9"/>
  <c r="D27" i="9" s="1"/>
  <c r="BH27" i="9" s="1"/>
  <c r="D26" i="9"/>
  <c r="BH26" i="9" s="1"/>
  <c r="C26" i="9"/>
  <c r="C25" i="9"/>
  <c r="C24" i="9"/>
  <c r="D23" i="9"/>
  <c r="BH23" i="9" s="1"/>
  <c r="C23" i="9"/>
  <c r="C22" i="9"/>
  <c r="D22" i="9" s="1"/>
  <c r="BH22" i="9" s="1"/>
  <c r="C21" i="9"/>
  <c r="C20" i="9"/>
  <c r="C19" i="9"/>
  <c r="D19" i="9" s="1"/>
  <c r="BH19" i="9" s="1"/>
  <c r="D18" i="9"/>
  <c r="BH18" i="9" s="1"/>
  <c r="C18" i="9"/>
  <c r="C17" i="9"/>
  <c r="C16" i="9"/>
  <c r="D15" i="9"/>
  <c r="BH15" i="9" s="1"/>
  <c r="C15" i="9"/>
  <c r="C14" i="9"/>
  <c r="D14" i="9" s="1"/>
  <c r="BH14" i="9" s="1"/>
  <c r="C13" i="9"/>
  <c r="C12" i="9"/>
  <c r="D12" i="9" s="1"/>
  <c r="BH12" i="9" s="1"/>
  <c r="C11" i="9"/>
  <c r="D11" i="9" s="1"/>
  <c r="BH11" i="9" s="1"/>
  <c r="C10" i="9"/>
  <c r="D10" i="9" s="1"/>
  <c r="BH10" i="9" s="1"/>
  <c r="C9" i="9"/>
  <c r="D9" i="9" s="1"/>
  <c r="BH9" i="9" s="1"/>
  <c r="C8" i="9"/>
  <c r="D8" i="9" s="1"/>
  <c r="BH8" i="9" s="1"/>
  <c r="C7" i="9"/>
  <c r="D7" i="9" s="1"/>
  <c r="BH7" i="9" s="1"/>
  <c r="C6" i="9"/>
  <c r="C5" i="9"/>
  <c r="AH151" i="8"/>
  <c r="AG151" i="8"/>
  <c r="AF151" i="8"/>
  <c r="AE151" i="8"/>
  <c r="AD151" i="8"/>
  <c r="AC151" i="8"/>
  <c r="AB151" i="8"/>
  <c r="AA151" i="8"/>
  <c r="Z151" i="8"/>
  <c r="Y151" i="8"/>
  <c r="X151" i="8"/>
  <c r="V151" i="8"/>
  <c r="U151" i="8"/>
  <c r="T151" i="8"/>
  <c r="S151" i="8"/>
  <c r="R151" i="8"/>
  <c r="Q151" i="8"/>
  <c r="P151" i="8"/>
  <c r="O151" i="8"/>
  <c r="N151" i="8"/>
  <c r="M151" i="8"/>
  <c r="L151" i="8"/>
  <c r="K151" i="8"/>
  <c r="J151" i="8"/>
  <c r="I151" i="8"/>
  <c r="H151" i="8"/>
  <c r="G151" i="8"/>
  <c r="F151" i="8"/>
  <c r="E151" i="8"/>
  <c r="D151" i="8"/>
  <c r="C151" i="8"/>
  <c r="BI89" i="9" l="1"/>
  <c r="D89" i="9"/>
  <c r="BH89" i="9" s="1"/>
  <c r="BI127" i="9"/>
  <c r="D6" i="9"/>
  <c r="BH6" i="9" s="1"/>
  <c r="D69" i="9"/>
  <c r="BH69" i="9" s="1"/>
  <c r="BH99" i="9"/>
  <c r="BI99" i="9"/>
  <c r="BH129" i="9"/>
  <c r="BI129" i="9"/>
  <c r="D135" i="9"/>
  <c r="BH135" i="9" s="1"/>
  <c r="BI135" i="9"/>
  <c r="BI8" i="9"/>
  <c r="BI10" i="9"/>
  <c r="BI12" i="9"/>
  <c r="D62" i="9"/>
  <c r="BH62" i="9" s="1"/>
  <c r="BH67" i="9"/>
  <c r="BI67" i="9"/>
  <c r="BH97" i="9"/>
  <c r="BI97" i="9"/>
  <c r="D103" i="9"/>
  <c r="BH103" i="9" s="1"/>
  <c r="D139" i="9"/>
  <c r="BH139" i="9" s="1"/>
  <c r="C151" i="9"/>
  <c r="D5" i="9"/>
  <c r="BH5" i="9" s="1"/>
  <c r="D13" i="9"/>
  <c r="BH13" i="9" s="1"/>
  <c r="D17" i="9"/>
  <c r="BH17" i="9" s="1"/>
  <c r="BI21" i="9"/>
  <c r="D21" i="9"/>
  <c r="BH21" i="9" s="1"/>
  <c r="D25" i="9"/>
  <c r="BH25" i="9" s="1"/>
  <c r="BI29" i="9"/>
  <c r="D29" i="9"/>
  <c r="BH29" i="9" s="1"/>
  <c r="D33" i="9"/>
  <c r="BH33" i="9" s="1"/>
  <c r="D37" i="9"/>
  <c r="BH37" i="9" s="1"/>
  <c r="D41" i="9"/>
  <c r="BH41" i="9" s="1"/>
  <c r="D45" i="9"/>
  <c r="BH45" i="9" s="1"/>
  <c r="D49" i="9"/>
  <c r="BH49" i="9" s="1"/>
  <c r="BI53" i="9"/>
  <c r="D53" i="9"/>
  <c r="BH53" i="9" s="1"/>
  <c r="D71" i="9"/>
  <c r="BH71" i="9" s="1"/>
  <c r="BI71" i="9"/>
  <c r="BI107" i="9"/>
  <c r="D107" i="9"/>
  <c r="BH107" i="9" s="1"/>
  <c r="BI123" i="9"/>
  <c r="BI133" i="9"/>
  <c r="D133" i="9"/>
  <c r="BH133" i="9" s="1"/>
  <c r="BI7" i="9"/>
  <c r="BI9" i="9"/>
  <c r="BI11" i="9"/>
  <c r="BI14" i="9"/>
  <c r="BI18" i="9"/>
  <c r="BI22" i="9"/>
  <c r="BI26" i="9"/>
  <c r="BI30" i="9"/>
  <c r="BI34" i="9"/>
  <c r="BI38" i="9"/>
  <c r="BI42" i="9"/>
  <c r="BI46" i="9"/>
  <c r="BI50" i="9"/>
  <c r="BI54" i="9"/>
  <c r="D58" i="9"/>
  <c r="BH58" i="9" s="1"/>
  <c r="D66" i="9"/>
  <c r="BH66" i="9" s="1"/>
  <c r="D75" i="9"/>
  <c r="BH75" i="9" s="1"/>
  <c r="BI83" i="9"/>
  <c r="BI91" i="9"/>
  <c r="D101" i="9"/>
  <c r="BH101" i="9" s="1"/>
  <c r="BH131" i="9"/>
  <c r="BI131" i="9"/>
  <c r="BI65" i="9"/>
  <c r="BI44" i="9"/>
  <c r="D57" i="9"/>
  <c r="BH57" i="9" s="1"/>
  <c r="D61" i="9"/>
  <c r="BH61" i="9" s="1"/>
  <c r="D65" i="9"/>
  <c r="BH65" i="9" s="1"/>
  <c r="BI73" i="9"/>
  <c r="D77" i="9"/>
  <c r="BH77" i="9" s="1"/>
  <c r="BI79" i="9"/>
  <c r="D83" i="9"/>
  <c r="BH83" i="9" s="1"/>
  <c r="BI105" i="9"/>
  <c r="D109" i="9"/>
  <c r="BH109" i="9" s="1"/>
  <c r="BI111" i="9"/>
  <c r="D115" i="9"/>
  <c r="BH115" i="9" s="1"/>
  <c r="BI137" i="9"/>
  <c r="D141" i="9"/>
  <c r="BH141" i="9" s="1"/>
  <c r="BI143" i="9"/>
  <c r="D147" i="9"/>
  <c r="BH147" i="9" s="1"/>
  <c r="BI15" i="9"/>
  <c r="D16" i="9"/>
  <c r="BH16" i="9" s="1"/>
  <c r="BI19" i="9"/>
  <c r="D20" i="9"/>
  <c r="BH20" i="9" s="1"/>
  <c r="BI23" i="9"/>
  <c r="D24" i="9"/>
  <c r="BH24" i="9" s="1"/>
  <c r="BI27" i="9"/>
  <c r="D28" i="9"/>
  <c r="BH28" i="9" s="1"/>
  <c r="BI31" i="9"/>
  <c r="D32" i="9"/>
  <c r="BH32" i="9" s="1"/>
  <c r="BI35" i="9"/>
  <c r="D36" i="9"/>
  <c r="BH36" i="9" s="1"/>
  <c r="BI39" i="9"/>
  <c r="D40" i="9"/>
  <c r="BH40" i="9" s="1"/>
  <c r="BI43" i="9"/>
  <c r="D44" i="9"/>
  <c r="BH44" i="9" s="1"/>
  <c r="BI47" i="9"/>
  <c r="D48" i="9"/>
  <c r="BH48" i="9" s="1"/>
  <c r="BI51" i="9"/>
  <c r="D52" i="9"/>
  <c r="BH52" i="9" s="1"/>
  <c r="BI55" i="9"/>
  <c r="D56" i="9"/>
  <c r="BH56" i="9" s="1"/>
  <c r="BI59" i="9"/>
  <c r="D60" i="9"/>
  <c r="BH60" i="9" s="1"/>
  <c r="BI63" i="9"/>
  <c r="D64" i="9"/>
  <c r="BH64" i="9" s="1"/>
  <c r="BI81" i="9"/>
  <c r="D85" i="9"/>
  <c r="BH85" i="9" s="1"/>
  <c r="BI87" i="9"/>
  <c r="BI93" i="9"/>
  <c r="BI113" i="9"/>
  <c r="D117" i="9"/>
  <c r="BH117" i="9" s="1"/>
  <c r="BI119" i="9"/>
  <c r="BI125" i="9"/>
  <c r="BI145" i="9"/>
  <c r="D149" i="9"/>
  <c r="BH149" i="9" s="1"/>
  <c r="BI68" i="9"/>
  <c r="BI72" i="9"/>
  <c r="BI76" i="9"/>
  <c r="BI80" i="9"/>
  <c r="BI84" i="9"/>
  <c r="BI88" i="9"/>
  <c r="BI92" i="9"/>
  <c r="BI96" i="9"/>
  <c r="BI100" i="9"/>
  <c r="BI104" i="9"/>
  <c r="BI108" i="9"/>
  <c r="BI112" i="9"/>
  <c r="BI116" i="9"/>
  <c r="BI120" i="9"/>
  <c r="BI124" i="9"/>
  <c r="BI128" i="9"/>
  <c r="BI132" i="9"/>
  <c r="BI136" i="9"/>
  <c r="BI140" i="9"/>
  <c r="BI144" i="9"/>
  <c r="BI148" i="9"/>
  <c r="BI70" i="9"/>
  <c r="BI74" i="9"/>
  <c r="BI78" i="9"/>
  <c r="BI82" i="9"/>
  <c r="BI86" i="9"/>
  <c r="BI90" i="9"/>
  <c r="BI94" i="9"/>
  <c r="BI98" i="9"/>
  <c r="BI102" i="9"/>
  <c r="BI106" i="9"/>
  <c r="BI110" i="9"/>
  <c r="BI114" i="9"/>
  <c r="BI118" i="9"/>
  <c r="BI122" i="9"/>
  <c r="BI126" i="9"/>
  <c r="BI130" i="9"/>
  <c r="BI134" i="9"/>
  <c r="BI138" i="9"/>
  <c r="BI142" i="9"/>
  <c r="BI146" i="9"/>
  <c r="BI150" i="9"/>
  <c r="I88" i="7"/>
  <c r="I83" i="7"/>
  <c r="F77" i="7"/>
  <c r="I73" i="7"/>
  <c r="F67" i="7"/>
  <c r="I63" i="7"/>
  <c r="F57" i="7"/>
  <c r="I53" i="7"/>
  <c r="F47" i="7"/>
  <c r="I43" i="7"/>
  <c r="F37" i="7"/>
  <c r="I28" i="7"/>
  <c r="I23" i="7"/>
  <c r="F15" i="7"/>
  <c r="I12" i="7"/>
  <c r="BI6" i="9" l="1"/>
  <c r="I96" i="4" s="1"/>
  <c r="BI117" i="9"/>
  <c r="BI60" i="9"/>
  <c r="BI36" i="9"/>
  <c r="BI37" i="9"/>
  <c r="BI85" i="9"/>
  <c r="BI28" i="9"/>
  <c r="BI45" i="9"/>
  <c r="BI13" i="9"/>
  <c r="BI103" i="9"/>
  <c r="BI52" i="9"/>
  <c r="BI20" i="9"/>
  <c r="I94" i="7"/>
  <c r="I96" i="7" s="1"/>
  <c r="I91" i="7"/>
  <c r="I93" i="7" s="1"/>
  <c r="BI77" i="9"/>
  <c r="BI48" i="9"/>
  <c r="BI32" i="9"/>
  <c r="BI16" i="9"/>
  <c r="BI66" i="9"/>
  <c r="BH151" i="9"/>
  <c r="BI139" i="9"/>
  <c r="BI62" i="9"/>
  <c r="BI69" i="9"/>
  <c r="D151" i="9"/>
  <c r="BI141" i="9"/>
  <c r="BI61" i="9"/>
  <c r="BI5" i="9"/>
  <c r="BI115" i="9"/>
  <c r="BI49" i="9"/>
  <c r="BI41" i="9"/>
  <c r="BI33" i="9"/>
  <c r="BI25" i="9"/>
  <c r="BI17" i="9"/>
  <c r="BI149" i="9"/>
  <c r="BI64" i="9"/>
  <c r="BI56" i="9"/>
  <c r="BI40" i="9"/>
  <c r="BI24" i="9"/>
  <c r="BI109" i="9"/>
  <c r="BI57" i="9"/>
  <c r="BI101" i="9"/>
  <c r="BI75" i="9"/>
  <c r="BI58" i="9"/>
  <c r="BI147" i="9"/>
  <c r="I16" i="4"/>
  <c r="I74" i="4"/>
  <c r="I42" i="4"/>
  <c r="F36" i="4"/>
  <c r="I89" i="4"/>
  <c r="I84" i="4"/>
  <c r="F78" i="4"/>
  <c r="I53" i="4"/>
  <c r="F46" i="4"/>
  <c r="I27" i="4"/>
  <c r="I22" i="4"/>
  <c r="E156" i="3"/>
  <c r="F97" i="3"/>
  <c r="F98" i="3" s="1"/>
  <c r="G68" i="3"/>
  <c r="E192" i="2"/>
  <c r="E182" i="2"/>
  <c r="E184" i="2" s="1"/>
  <c r="I152" i="2"/>
  <c r="E51" i="1" s="1"/>
  <c r="G152" i="2"/>
  <c r="D51" i="1" s="1"/>
  <c r="F100" i="2"/>
  <c r="F101" i="2" s="1"/>
  <c r="G67" i="2"/>
  <c r="E200" i="1"/>
  <c r="E190" i="1"/>
  <c r="E192" i="1" s="1"/>
  <c r="I157" i="1"/>
  <c r="E50" i="1" s="1"/>
  <c r="G157" i="1"/>
  <c r="D50" i="1" s="1"/>
  <c r="F105" i="1"/>
  <c r="F106" i="1" s="1"/>
  <c r="F112" i="1" s="1"/>
  <c r="G71" i="1"/>
  <c r="BI151" i="9" l="1"/>
  <c r="BI152" i="9" s="1"/>
  <c r="E52" i="1"/>
  <c r="D52" i="1"/>
  <c r="I92" i="4"/>
  <c r="I94" i="4" s="1"/>
  <c r="I95" i="4"/>
  <c r="I97" i="4" s="1"/>
  <c r="F15" i="4"/>
</calcChain>
</file>

<file path=xl/sharedStrings.xml><?xml version="1.0" encoding="utf-8"?>
<sst xmlns="http://schemas.openxmlformats.org/spreadsheetml/2006/main" count="1810" uniqueCount="541">
  <si>
    <t>Multiple Employer, Defined Benefit, Special Funding Situation, DOES NOT Meets Paragraph 4 (Paygo Plan)</t>
  </si>
  <si>
    <t>Relevant paragraphs - 143-145; 161-171; 193-201</t>
  </si>
  <si>
    <t>Net OPEB liability</t>
  </si>
  <si>
    <t>-</t>
  </si>
  <si>
    <t>A liability should be recognized for the employers proportionate share of the collective total OPEB liability.  Should be measured as the collective total OPEB liability, net of the nonemployer contributing entities total proportionate share of the collective total OPEB liability.</t>
  </si>
  <si>
    <t>Full accrual statements</t>
  </si>
  <si>
    <t>For current resources accounting liability should be recognized to extent that the liability will be paid with expendable available financial resources. Usually means to the extent that benefit payments have matured (due and payable).</t>
  </si>
  <si>
    <t>Governmental funds</t>
  </si>
  <si>
    <t>202, 161</t>
  </si>
  <si>
    <t>Current OPEB expense/expenditures. Each annual valuation adds a layer for deferrals.</t>
  </si>
  <si>
    <t>OPEB expense should be recogized in an amount equal to collective OPEB expense. Deferred inflows and outflows should be recognized for the employers proportionate shares of collective deferrals related to OPEB. Collective expense and deferrals determined in accordance with para 157. Changes in the proportion of collective total OPEB liability should be recognized in the current reporting period except as noted below. Proportion is determined based on proportion of collective total OPEB liability.</t>
  </si>
  <si>
    <t>195, 157</t>
  </si>
  <si>
    <t xml:space="preserve">One year portion of proportionate share of collective difference between actual and expected experience with regard to economic or demographic factors in the net OPEB liability.  Amortized over closed period equal to average remaining useful life of all OPEB eligibles as of start of measurement period. </t>
  </si>
  <si>
    <t>157A(1)</t>
  </si>
  <si>
    <t>One year portion of proportionate share of collective Amounts related to changes of assumptions about future economic or demographic factors or of other inputs. Amortized over closed period equal to average remaining useful life of all OPEB eligibles as of start of measurement period</t>
  </si>
  <si>
    <t>157A(2)</t>
  </si>
  <si>
    <t>One year portion of the net effect that a change in employers proportion of collective total OPEB liability, since prior measurement date, would have on the proportionate shares of the collective total OPEB liability and OPEB related collective deferrals determined as of the beginning of the measurement period.  Amortized over closed period equal to average remaining useful life of OPEB eligibles as of start of measurement period. Can be recognized net with (4) below.</t>
  </si>
  <si>
    <t>One years portion of the difference between (1) the employers proportionate share of all OPEB benefits paid, by all employers and nonemployer contributors, as they came due and the (2) actual amount of benefits paid as they came due by the employer during the measurement period.  Amortized over expected remaining service lives of all employees that are provided OPEB through the plan as of start of measurement period. Can be recognized net with (3) above.</t>
  </si>
  <si>
    <t>Costs related to the administration of OPEB.  Including cost incurred by the employer and those, if any, incurred by the nonemployer contributing entity. Same measurement period as used for change in OPEB liability.</t>
  </si>
  <si>
    <t>Expenditures equal to total amount paid, during the reporting period, by the employer for OPEB as the benefits come due, plus/minus the change in the amounts normally expected to be paid with expendable available financial resources. (refers to benefits or premiums that are due and payable.)</t>
  </si>
  <si>
    <t>GASB 85 para 9</t>
  </si>
  <si>
    <t>Deferred outflow/inflow</t>
  </si>
  <si>
    <t>Unamortized portion of (1) under recognized in current expense. New layer with own amortization yearly.</t>
  </si>
  <si>
    <t>Unamortized portion of (2) under recognized in current expense. New layer with own amortization yearly.</t>
  </si>
  <si>
    <t>Unamortized portion of (3) under recognized in current expense. New layer with own amortization yearly. Can be recognized net with (4) below.</t>
  </si>
  <si>
    <t>Unamortized portion of (4) under recognized in current expense. New layer with own amortization yearly. Can be recognized net with (3) above.</t>
  </si>
  <si>
    <t>Contributions to the OPEB plan subsequent to the measurement date of collective total OPEB liability and before the end of the reporting period should be reported as deferred outflows (July 1, 2017-June 30, 2018 for FY18).  Same for OPEB admin expenses after the measurement date. Excluding amounts paid by nonemployer contributing entities.</t>
  </si>
  <si>
    <t>Current revenue</t>
  </si>
  <si>
    <t>Revenue should be recognized in an amount equal to the total of the 1) nonemployer contributor total proportionate share of collective OPEB expense (para 207) and 2) the total of the nonemployer proportionate OPEB admin expense (para 210) (measurement period)</t>
  </si>
  <si>
    <t>Revenue equal to the amount of expenditures recorded for on-behalf payments made during the reporting period</t>
  </si>
  <si>
    <t>GASB 85 para 10</t>
  </si>
  <si>
    <t>Required note disclosures, single employer</t>
  </si>
  <si>
    <t>Note X - Other Postemployment Benefits (OPEB)</t>
  </si>
  <si>
    <t>[If the entity provides OPEB benefits through more than one plan, the entity should disclose the total of the employers OPEB liabilities, deferred outflows of resources and deferred inflows of resources related to OPEB and OPEB expense/expenditures for the period if not otherwise identifiable in the financial statements.  These amounts should be disclosed in the aggregate for each element.]</t>
  </si>
  <si>
    <t>General information about the OPEB plan</t>
  </si>
  <si>
    <t>165A, B</t>
  </si>
  <si>
    <t>165B</t>
  </si>
  <si>
    <t>165C</t>
  </si>
  <si>
    <t>Active employees</t>
  </si>
  <si>
    <t>165E</t>
  </si>
  <si>
    <t>Total OPEB Liability</t>
  </si>
  <si>
    <t>166, 169A</t>
  </si>
  <si>
    <t>Inflation</t>
  </si>
  <si>
    <t>Salary increases</t>
  </si>
  <si>
    <t>Graded salary ranges from 3.44 to 8.72 percent based on age, including inflation, averaging 4 percent</t>
  </si>
  <si>
    <t>Healthcare cost trend rates</t>
  </si>
  <si>
    <t>Retiree's share of benefit-related costs</t>
  </si>
  <si>
    <t xml:space="preserve">Members are required to make monthly contributions in order to maintain their coverage. For the purpose of this Valuation a weighted average has been used with weights derived from the current distribution of members among plans offered.   
</t>
  </si>
  <si>
    <t>Unless noted otherwise, the actuarial demographic assumptions used in the June 30, 2017, valuations were the same as those employed in the July 1, 2017 Pension Actuarial Valuation of the Tennessee Consolidated Retirement System (TCRS). These assumptions were developed by TCRS based on the results of an actuarial experience study for the period July 1, 2012 - June 30, 2016. The demographic assumptions were adjusted to more  closely reflect actual and expected future experience. Mortality tables are used to measure the probabilities of participants dying before and after retirement.  The mortality rates employed in this valuation are taken from the RP-2014 Healthy Participant Mortality Table for Annuitants for non-disabled post-retirement mortality, with mortality improvement projected to all future years using Scale MP-2016. Post-retirement tables are Blue Collar and adjusted with a 2% load for males and a -3% load for females. Mortality rates for impaired lives are the same as those used by TCRS and are taken from a gender distinct table published in the IRS Ruling 96-7 for disabled lives with a 10% load.</t>
  </si>
  <si>
    <t>Changes in Collective Total OPEB Liability</t>
  </si>
  <si>
    <t>Total OPEB Liability
(a)</t>
  </si>
  <si>
    <t>Balances at June 30, 2016</t>
  </si>
  <si>
    <t>168A</t>
  </si>
  <si>
    <t>Changes for the year:</t>
  </si>
  <si>
    <t xml:space="preserve">    Service cost</t>
  </si>
  <si>
    <t>168B(1)</t>
  </si>
  <si>
    <t xml:space="preserve">    Interest</t>
  </si>
  <si>
    <t>168B(2)</t>
  </si>
  <si>
    <t xml:space="preserve">    Changes of benefit terms</t>
  </si>
  <si>
    <t>168B(3)</t>
  </si>
  <si>
    <t xml:space="preserve">    Differences between expected and actual experience</t>
  </si>
  <si>
    <t>168B(4)</t>
  </si>
  <si>
    <t xml:space="preserve">    Change in assumptions</t>
  </si>
  <si>
    <t>168B(5)</t>
  </si>
  <si>
    <t xml:space="preserve">    Benefit payments</t>
  </si>
  <si>
    <t>168B(6)</t>
  </si>
  <si>
    <t>Net changes</t>
  </si>
  <si>
    <t>Balances at June 30, 2017</t>
  </si>
  <si>
    <t>168C</t>
  </si>
  <si>
    <t>Nonemployer contributing entities proportionate share of the collective total OPEB liability</t>
  </si>
  <si>
    <t>168D(1)</t>
  </si>
  <si>
    <t>Employer's proportionate share of the collective total OPEB liability</t>
  </si>
  <si>
    <t>168D(2)</t>
  </si>
  <si>
    <t>Employer's proportion of the collective total OPEB liability</t>
  </si>
  <si>
    <t>169B</t>
  </si>
  <si>
    <t>169B, 169J</t>
  </si>
  <si>
    <t>169C</t>
  </si>
  <si>
    <t>169D</t>
  </si>
  <si>
    <t>N/A</t>
  </si>
  <si>
    <t>169E</t>
  </si>
  <si>
    <t>169F</t>
  </si>
  <si>
    <t>167B</t>
  </si>
  <si>
    <t>1% Decrease
(2.56%)</t>
  </si>
  <si>
    <t>Discount Rate
(3.56%)</t>
  </si>
  <si>
    <t>1% Increase
(4.56%)</t>
  </si>
  <si>
    <t>Proportionate share of collective total OPEB liability</t>
  </si>
  <si>
    <t>$</t>
  </si>
  <si>
    <t>167A</t>
  </si>
  <si>
    <t>OPEB Expense and Deferred Outflows of Resources and Deferred Inflows of Resources Related to OPEB</t>
  </si>
  <si>
    <t>169G</t>
  </si>
  <si>
    <t>169H</t>
  </si>
  <si>
    <t>Deferred Outflows of resources</t>
  </si>
  <si>
    <t>Deferred Inflows of resources</t>
  </si>
  <si>
    <t xml:space="preserve">    Differences between actual and expected experience</t>
  </si>
  <si>
    <t>169H(1)</t>
  </si>
  <si>
    <t xml:space="preserve">    Changes of assumptions</t>
  </si>
  <si>
    <t>169H(2)</t>
  </si>
  <si>
    <t xml:space="preserve">   Changes in proportion and differences between 
         amounts paid as benefits came due and proportionate 
         share certain amounts paid by the employer and 
         nonemployer contributors as the benefits came due.</t>
  </si>
  <si>
    <t>169H(3)</t>
  </si>
  <si>
    <t xml:space="preserve">    Employer payments subsequent to the measurement date</t>
  </si>
  <si>
    <t>169H(4)</t>
  </si>
  <si>
    <t>Total</t>
  </si>
  <si>
    <t>The amounts shown above for "Employer payments subsequent to the measurement date" will be included as a reduction to total OPEB liability in the following measurement period.</t>
  </si>
  <si>
    <t>169I(3)</t>
  </si>
  <si>
    <t>Amounts reported as deferred outflows of resources and deferred inflows of resources will be recognized in OPEB expense as follows:</t>
  </si>
  <si>
    <t>169I(1)</t>
  </si>
  <si>
    <t>For the year ended June 30:</t>
  </si>
  <si>
    <t>Thereafter</t>
  </si>
  <si>
    <t>In the table above, positive amounts will increase OPEB expense while negative amounts will decrease OPEB expense.</t>
  </si>
  <si>
    <t>Required Supplementary Information</t>
  </si>
  <si>
    <t>Add 1 year until 10 represented</t>
  </si>
  <si>
    <t>57A</t>
  </si>
  <si>
    <t>Schedule of Changes in [entity] Proportionate Share of Collective OPEB Liability and Related Ratios</t>
  </si>
  <si>
    <t>Last Fiscal Year
(dollar amount in thousands)</t>
  </si>
  <si>
    <t xml:space="preserve">Total OPEB liability  </t>
  </si>
  <si>
    <t>Service cost</t>
  </si>
  <si>
    <t>170A</t>
  </si>
  <si>
    <t>Interest</t>
  </si>
  <si>
    <t>Changes of benefit terms</t>
  </si>
  <si>
    <t>Differences between expected and actual experience</t>
  </si>
  <si>
    <t>Changes of assumptions</t>
  </si>
  <si>
    <t>Benefit payments</t>
  </si>
  <si>
    <t>Net change in total OPEB liability</t>
  </si>
  <si>
    <t>Total OPEB liability - beginning</t>
  </si>
  <si>
    <t>Total OPEB liability - ending (a)</t>
  </si>
  <si>
    <t>170A, B(2)</t>
  </si>
  <si>
    <t>Nonemployer contributing entities proportionate  share of the collective total OPEB liability</t>
  </si>
  <si>
    <t>170B(2)b</t>
  </si>
  <si>
    <t>Employer's proportionate  share of the collective total OPEB liability</t>
  </si>
  <si>
    <t>170B(2)c</t>
  </si>
  <si>
    <t>Covered-employee payroll</t>
  </si>
  <si>
    <t>GASB 85 para 14</t>
  </si>
  <si>
    <t>Employer's proportionate share of collective total OPEB liability as a percentage of covered-employee payroll</t>
  </si>
  <si>
    <t>170B(2)e</t>
  </si>
  <si>
    <t>Notes to Schedule</t>
  </si>
  <si>
    <t>There are no assets accumulating, in a trust that meets the criteria in paragraph 4 of GASB Statement No. 75, related to this OPEB plan.</t>
  </si>
  <si>
    <t>The amounts reported for each fiscal year were determined as of the prior fiscal year-end.</t>
  </si>
  <si>
    <t>This schedule is intended to display ten years of information.  Additional years will be displayed as they become available.</t>
  </si>
  <si>
    <t>A liability should be recognized for the employers proportinate share of the collective total OPEB liability.  Should be measured as the collective total OPEB liability, net of the nonemployer contributing entities total proportionate share of the collective total OPEB liability.</t>
  </si>
  <si>
    <t>Revenue should be recognized in an amount equal to the total of the 1) nonemployer contributor total proportionate share of collective OPEB expense (para 207) and 2) the total of the nonemployer proportionate OPEB admin expense (para 210)</t>
  </si>
  <si>
    <t>Closed Tennessee Plan</t>
  </si>
  <si>
    <t>165B, D</t>
  </si>
  <si>
    <t xml:space="preserve">In accordance with TCA 8-27-209, the state insurance committees established by TCAs 8-27-201, 8-27-301 and 8-27-701 determine the required payments to the plan by member employers and employees. Claims liabilities of the plan are periodically computed using actuarial and statistical techniques to establish premium rates.  Administrative costs are allocated to plan participants. Employers contribute towards employee costs based on their own developed policies.  During the current reporting period, the [entity name] paid $xxx.xxx million to the TNP for OPEB benefits as they came due. </t>
  </si>
  <si>
    <t>The premium subsidies provided to retirees in the Tennessee Plan are assumed to remain unchanged for the entire projection, therefore trend rates are not applicable.</t>
  </si>
  <si>
    <t>TNP</t>
  </si>
  <si>
    <t>The [entity name] has a special funding situation related to benefits paid by the State of Tennessee for its eligible retired employees participating in the TNP. [entity name]'s proportionate share of the collective total OPEB liability was based on a projection of the employers long-term share of benefits paid through the OPEB plan relative to the projected share of benefit payments of all participating employers and nonemployer contributing entities, actuarially determined.  The proportion changed xx.xx% from the prior measurement date. [Entity name] recognized $xx.xx in revenue for support provided by nonemployer contributing entities for benefits paid to the TNP for [entity name] retired employees.</t>
  </si>
  <si>
    <t>1% Decrease
(2.53)</t>
  </si>
  <si>
    <t>Healthcare Cost Trend Rates
(3.53)</t>
  </si>
  <si>
    <t>1% Increase
(4.53)</t>
  </si>
  <si>
    <t>Schedule of Changes in [entity name] Proportionate Share of Collective OPEB Liability and Related Ratios</t>
  </si>
  <si>
    <t>N/A if employers proportion of collective OPEB liability is 0%</t>
  </si>
  <si>
    <t>OPEB expense/expenditures.</t>
  </si>
  <si>
    <t xml:space="preserve">OPEB expense should be recogized in an amount equal to collective OPEB expense. Collective expense should be determined in accordance with paragraph 157. </t>
  </si>
  <si>
    <t>OPEB expense should be recognized for costs related to the administration of OPEB, including cost incurred by the employer and those, if any, incurred by the nonemployer contributing entity. Same measurement period as used for change in OPEB liability.</t>
  </si>
  <si>
    <t>Revenue</t>
  </si>
  <si>
    <t>Revenue should be recognized in an amount equal to the total of the 1) nonemployer contributor total proportionate share of collective OPEB expense (para 207) and 2) the total of the nonemployer proportionate OPEB admin expense (para 210).  Classified in the same way other payments from the nonemployer would be classified.</t>
  </si>
  <si>
    <t xml:space="preserve">In accordance with TCA 8-27-209, the state insurance committees established by TCAs 8-27-201, 8-27-301 and 8-27-701 determine the required payments to the plan by member employers and employees. Claims liabilities of the plan are periodically computed using actuarial and statistical techniques to establish premium rates.  Administrative costs are allocated to plan participants. Employers contribute towards employee costs based on their own developed policies.  During the current reporting period, the [entity name] did not make any payments to the TNP for OPEB benefits as they came due. </t>
  </si>
  <si>
    <t>The [entity name] has a special funding situation related to benefits paid by the State of Tennessee for its eligible retired employees participating in the TNP. [entity name]'s proportionate share of the collective total OPEB liability was based on a projection of the employers long-term share of benefits paid through the OPEB plan relative to the projected share of benefit payments of all participating employers and nonemployer contributing entities, actuarially determined.  The [entity name] proportion of 0% did not change from the prior measurement date. [Entity name] recognized $xx.xx in revenue for support provided by nonemployer contributing entities for benefits paid to the TNP for [entity name] retired employees.</t>
  </si>
  <si>
    <t>Click in Cell Below and Select Your Organization</t>
  </si>
  <si>
    <t>Debit</t>
  </si>
  <si>
    <t>Credit</t>
  </si>
  <si>
    <t>OPEB Liability</t>
  </si>
  <si>
    <t xml:space="preserve">        Net Position</t>
  </si>
  <si>
    <t>Removes the June 30, 2017 OPEB liability</t>
  </si>
  <si>
    <t>Net Position</t>
  </si>
  <si>
    <t xml:space="preserve">        OPEB Liability</t>
  </si>
  <si>
    <t>Records the beginning balance of the OPEB liability at June 30, 2016</t>
  </si>
  <si>
    <t>DO Benefit Payments Subsequent to Measurement Date</t>
  </si>
  <si>
    <t>OPEB Expense</t>
  </si>
  <si>
    <t xml:space="preserve">        Deferred Inflow of Resources 2018 Change in Assumptions</t>
  </si>
  <si>
    <t>Deferred Inflow of Resources 2018 Change in Assumptions</t>
  </si>
  <si>
    <t xml:space="preserve">        DO Benefit Payments Subsequent to Measurement Date</t>
  </si>
  <si>
    <t xml:space="preserve">        Employer Determines Proper Benefit Expense Account</t>
  </si>
  <si>
    <t>Employer Determines Benefit Expenditure Account</t>
  </si>
  <si>
    <t xml:space="preserve">        Employer Determines Grant Revenue Account</t>
  </si>
  <si>
    <t>Total OPEB Liability After Above Entries</t>
  </si>
  <si>
    <t>Total OPEB Liability Per Valuation Results</t>
  </si>
  <si>
    <t>Total Change in OPEB Liability Per This Tab</t>
  </si>
  <si>
    <t>Total Change in OPEB Liability Per Results Tab</t>
  </si>
  <si>
    <t>Recommended New Accounts</t>
  </si>
  <si>
    <t>1) DO Benefit Payments Subsequent to Measurement Date EGI</t>
  </si>
  <si>
    <t>2) Deferred Inflow of Resources 2018 Change in Assumptions EGI</t>
  </si>
  <si>
    <t xml:space="preserve">        Deferred Inflow of Resources 2018 Diff Between Expected and Actual Experience</t>
  </si>
  <si>
    <t>Deferred Inflow of Resources 2018 Diff Between Expected and Actual Experience</t>
  </si>
  <si>
    <t xml:space="preserve">        Deferred Inflow of Resources 2018 Change in Proportion</t>
  </si>
  <si>
    <t>Deferred Inflow of Resources 2018 Change in Proportion</t>
  </si>
  <si>
    <t xml:space="preserve">        Deferred Inflow of Resources 2018 Diffs Between Actual and Prop Payments</t>
  </si>
  <si>
    <t>Deferred Inflow of Resources 2018 Diffs Between Actual and Prop Payments</t>
  </si>
  <si>
    <t>Teacher Group Plan - PayGo In Special Funding Situation - Local Education Agency Reporting</t>
  </si>
  <si>
    <t>Unless noted otherwise, the actuarial demographic assumptions used in the June 30, 2017, valuations were the same as those employed in the July 1, 2017 Pension Actuarial Valuation of the Tennessee Consolidated Retirement System (TCRS). These assumptions were developed by TCRS based on the results of an actuarial experience study for the period July 1, 2012 - June 30, 2016. The demographic assumptions were adjusted to more closely reflect actual and expected future experience. Mortality tables are used to measure the probabilities of participants dying before and after retirement.  The mortality rates employed in this valuation are taken from the RP-2014 Healthy Participant Mortality Table for Annuitants for non-disabled post-retirement mortality, with mortality improvement projected to all future years using Scale MP-2016. Post-retirement tables are Blue Collar and adjusted with a 2% load for males and a -3% load for females. Mortality rates for impaired lives are the same as those used by TCRS and are taken from a gender distinct table published in the IRS Ruling 96-7 for disabled lives with a 10% load.</t>
  </si>
  <si>
    <t xml:space="preserve">Inactive employees currently receiving benefit payments </t>
  </si>
  <si>
    <t xml:space="preserve">Inactive employees entitled to but not yet receiving benefit payments </t>
  </si>
  <si>
    <r>
      <rPr>
        <b/>
        <i/>
        <sz val="10"/>
        <rFont val="Times New Roman"/>
        <family val="1"/>
      </rPr>
      <t>Actuarial assumptions</t>
    </r>
    <r>
      <rPr>
        <sz val="10"/>
        <rFont val="Times New Roman"/>
        <family val="1"/>
      </rPr>
      <t xml:space="preserve"> - The collective total OPEB liability in the June 30, 2017 actuarial valuation was determined using the following actuarial assumptions and other inputs, applied to all periods included in the measurement, unless otherwise specified:</t>
    </r>
  </si>
  <si>
    <r>
      <rPr>
        <b/>
        <i/>
        <sz val="10"/>
        <rFont val="Times New Roman"/>
        <family val="1"/>
      </rPr>
      <t>Discount rate</t>
    </r>
    <r>
      <rPr>
        <sz val="10"/>
        <rFont val="Times New Roman"/>
        <family val="1"/>
      </rPr>
      <t xml:space="preserve"> - The discount rate used to measure the total OPEB liability was 3.56 percent.  This rate reflects the interest rate derived from yields on 20-year, tax-exempt general obligation municipal bonds, prevailing on the measurement date, with an average rating of AA/Aa as shown on the Fidelity 20-Year Municipal GO AA index.</t>
    </r>
  </si>
  <si>
    <r>
      <rPr>
        <b/>
        <i/>
        <sz val="10"/>
        <rFont val="Times New Roman"/>
        <family val="1"/>
      </rPr>
      <t xml:space="preserve">Changes in assumptions - </t>
    </r>
    <r>
      <rPr>
        <sz val="10"/>
        <rFont val="Times New Roman"/>
        <family val="1"/>
      </rPr>
      <t>The discount rate was changed from 2.92% as of the beginning of the measurement period to 3.56% as of June 30, 2017.  This change in assumption decreased the total OPEB liability.</t>
    </r>
  </si>
  <si>
    <r>
      <rPr>
        <b/>
        <i/>
        <sz val="10"/>
        <rFont val="Times New Roman"/>
        <family val="1"/>
      </rPr>
      <t xml:space="preserve">Changes in benefit terms - </t>
    </r>
    <r>
      <rPr>
        <sz val="10"/>
        <rFont val="Times New Roman"/>
        <family val="1"/>
      </rPr>
      <t>This section will include a brief discussion of any changes in benefit terms from the previous valuation (if applicable).</t>
    </r>
  </si>
  <si>
    <r>
      <rPr>
        <b/>
        <i/>
        <sz val="10"/>
        <rFont val="Times New Roman"/>
        <family val="1"/>
      </rPr>
      <t xml:space="preserve">Allocated insurance contracts - </t>
    </r>
    <r>
      <rPr>
        <sz val="10"/>
        <rFont val="Times New Roman"/>
        <family val="1"/>
      </rPr>
      <t>This section will include a brief discussion of any benefits, during measurement period attributable to allocated insurance contracts (if applicable).</t>
    </r>
  </si>
  <si>
    <r>
      <rPr>
        <b/>
        <i/>
        <sz val="10"/>
        <rFont val="Times New Roman"/>
        <family val="1"/>
      </rPr>
      <t xml:space="preserve">Significant changes subsequent to measurement date - </t>
    </r>
    <r>
      <rPr>
        <sz val="10"/>
        <rFont val="Times New Roman"/>
        <family val="1"/>
      </rPr>
      <t>This section will include a brief discussion of any changes during the period between the measurement date and the reporting date that is expected to have a significant impact on the total OPEB liability and the amount of the resultant change, if known (if applicable).</t>
    </r>
  </si>
  <si>
    <r>
      <rPr>
        <b/>
        <i/>
        <sz val="10"/>
        <rFont val="Times New Roman"/>
        <family val="1"/>
      </rPr>
      <t xml:space="preserve">OPEB expense - </t>
    </r>
    <r>
      <rPr>
        <sz val="10"/>
        <rFont val="Times New Roman"/>
        <family val="1"/>
      </rPr>
      <t>For the fiscal year ended June, 30, 2018, [entity] recognized OPEB expense of $xxx.xx million.</t>
    </r>
  </si>
  <si>
    <r>
      <rPr>
        <b/>
        <i/>
        <sz val="10"/>
        <rFont val="Times New Roman"/>
        <family val="1"/>
      </rPr>
      <t>Plan description</t>
    </r>
    <r>
      <rPr>
        <sz val="10"/>
        <rFont val="Times New Roman"/>
        <family val="1"/>
      </rPr>
      <t xml:space="preserve"> - Employees of [entity], who were hired prior to July 1, 2015, are provided with post-65 retiree health insurance benefits through the closed Tennessee Plan (TNP) administered by the  Tennessee Department of Finance and Administration. This plan is considered to be multiple-employer defined benefit plan that is used to provide postemployment benefits other than pensions (OPEB). However, for accounting purposes, this plan will be treated as a single-employer plan. All eligible post-65 retired teachers and disability participants of local education agencies, who choose coverage, participate in the TNP. The TNP also includes eligible retirees of the state, certain component units of the state, and certain local governmental entities. This plan is closed to the employees of all participating employers that were hired on or after July 1, 2015.</t>
    </r>
  </si>
  <si>
    <r>
      <rPr>
        <b/>
        <i/>
        <sz val="10"/>
        <rFont val="Times New Roman"/>
        <family val="1"/>
      </rPr>
      <t>Benefits provided</t>
    </r>
    <r>
      <rPr>
        <sz val="10"/>
        <rFont val="Times New Roman"/>
        <family val="1"/>
      </rPr>
      <t xml:space="preserve"> - The state offers the TNP to help fill most of the coverage gaps created by Medicare for eligible post-65 retired teachers and disabled participants of local education agencies. Insurance coverage is the only postemployment benefit provided to retirees. The TN plan does not include pharmacy. In accordance with TCA 8-27-209, benefits of the TNP are established and amended by cooperation of insurance committees created by TCA 8-27-201, 8-27-301 and 8-27-701.  Retirees and disabled employees of the state, component units, local education agencies, and certain local governments who have reached the age of 65, are Medicare eligible and also receives a benefit from the Tennessee Consolidated Retirement System may participate in this plan. All plan members receive the same plan benefits at the same premium rates.  Participating employers determine their own policy related to subsidizing the retiree premiums. </t>
    </r>
    <r>
      <rPr>
        <b/>
        <sz val="10"/>
        <rFont val="Times New Roman"/>
        <family val="1"/>
      </rPr>
      <t>[Entities should insert language to explain their direct subsidy policy for post-65 retiree insurance coverage or the fact that they do not directly subsidize]</t>
    </r>
    <r>
      <rPr>
        <sz val="10"/>
        <rFont val="Times New Roman"/>
        <family val="1"/>
      </rPr>
      <t>.The state, as a governmental nonemployer contributing entity contributes to the premiums of eligible retirees of local education agencies based on years of service. Therefore, retirees with 30 years of service receive $50 per month; 20 but less than 30 years, $37.50; and 15 but less than 20 years, $25. The TNP is funded on a pay-as-you-go basis and there are no assets accumulating in a trust that meets the criteria of paragraph 4 of GASB Statement No. 75.</t>
    </r>
  </si>
  <si>
    <r>
      <rPr>
        <b/>
        <i/>
        <sz val="10"/>
        <rFont val="Times New Roman"/>
        <family val="1"/>
      </rPr>
      <t>Employees covered by benefit terms</t>
    </r>
    <r>
      <rPr>
        <sz val="10"/>
        <rFont val="Times New Roman"/>
        <family val="1"/>
      </rPr>
      <t xml:space="preserve"> - At July 1, 2017, the following employees of [entity name] was covered by the benefit terms of the TNP:</t>
    </r>
  </si>
  <si>
    <r>
      <rPr>
        <b/>
        <i/>
        <sz val="10"/>
        <rFont val="Times New Roman"/>
        <family val="1"/>
      </rPr>
      <t xml:space="preserve">Significant changes subsequent to measurement date - </t>
    </r>
    <r>
      <rPr>
        <sz val="10"/>
        <rFont val="Times New Roman"/>
        <family val="1"/>
      </rPr>
      <t>This section will include a brief discussion of any changes during the period between the measurement date and the reporting date that is expected to have a significant impact on the collective total OPEB liability and the amount of the resultant change, if known (if applicable).</t>
    </r>
  </si>
  <si>
    <r>
      <rPr>
        <b/>
        <i/>
        <sz val="10"/>
        <rFont val="Times New Roman"/>
        <family val="1"/>
      </rPr>
      <t xml:space="preserve">OPEB expense - </t>
    </r>
    <r>
      <rPr>
        <sz val="10"/>
        <rFont val="Times New Roman"/>
        <family val="1"/>
      </rPr>
      <t>For the fiscal year ended June, 30, 2018, [entity name]recognized OPEB expense of $xxx.xx million.</t>
    </r>
  </si>
  <si>
    <r>
      <rPr>
        <b/>
        <i/>
        <sz val="10"/>
        <rFont val="Times New Roman"/>
        <family val="1"/>
      </rPr>
      <t xml:space="preserve">Deferred outflows of resources and deferred inflows of resources - </t>
    </r>
    <r>
      <rPr>
        <sz val="10"/>
        <rFont val="Times New Roman"/>
        <family val="1"/>
      </rPr>
      <t>For the fiscal year ended June, 30, 2018, [entity name] reported deferred outflows of resources and deferred inflows of resources related to OPEB benefits in the TNP from the following sources:</t>
    </r>
  </si>
  <si>
    <r>
      <rPr>
        <b/>
        <i/>
        <sz val="10"/>
        <rFont val="Times New Roman"/>
        <family val="1"/>
      </rPr>
      <t>Plan description</t>
    </r>
    <r>
      <rPr>
        <sz val="10"/>
        <rFont val="Times New Roman"/>
        <family val="1"/>
      </rPr>
      <t xml:space="preserve"> - Employees of [entity], who were hired prior to July 1, 2015, are provided with post-65 retiree health insurance benefits through the closed Tennessee Plan (TNP) administered by the Tennessee Department of Finance and Administration. This plan is considered to be multiple-employer defined benefit plan that is used to provide postemployment benefits other than pensions (OPEB). However, for accounting purposes, this plan will be treated as a single-employer plan. All eligible post-65 retired teachers and disability participants of local education agencies, who choose coverage, participate in the TNP. The TNP also includes eligible retirees of the state, certain component units of the state, and certain local governmental entities. This plan is closed to the employees of all participating employers that were hired on or after July 1, 2015.</t>
    </r>
  </si>
  <si>
    <r>
      <rPr>
        <b/>
        <i/>
        <sz val="10"/>
        <rFont val="Times New Roman"/>
        <family val="1"/>
      </rPr>
      <t>Sensitivity of proportionate share of the collective total OPEB liability to changes in the healthcare cost trend rate</t>
    </r>
    <r>
      <rPr>
        <sz val="10"/>
        <rFont val="Times New Roman"/>
        <family val="1"/>
      </rPr>
      <t xml:space="preserve"> - The following presents the proportinate share of the collective total OPEB liability related to the TNP, as well as what the proportionate share of the collective total OPEB liability would be if it were calculated using a healthcare cost trend rate that is 1-percentage-point lower (2.53) or 1-percentage-point higher (4.53) than the current healthcare cost trend rate. Premium subsidies in the Tennessee Plan are projected to remain unchanged and, consequently, trend rates are not applicable.</t>
    </r>
  </si>
  <si>
    <t xml:space="preserve">        Revenue</t>
  </si>
  <si>
    <t>Appendix - Summary of results by employer</t>
  </si>
  <si>
    <t>Count</t>
  </si>
  <si>
    <t>TOL End</t>
  </si>
  <si>
    <t>TOL Beg</t>
  </si>
  <si>
    <t>Expense</t>
  </si>
  <si>
    <t>Sensitivity</t>
  </si>
  <si>
    <t>Changes in TOL</t>
  </si>
  <si>
    <t>Add'l Expense Items</t>
  </si>
  <si>
    <t xml:space="preserve">DIR </t>
  </si>
  <si>
    <t xml:space="preserve">DOR </t>
  </si>
  <si>
    <t>Net DOR by Year</t>
  </si>
  <si>
    <t>Average Exp Rem Svc Life</t>
  </si>
  <si>
    <t>Employer</t>
  </si>
  <si>
    <t>Inactive Receiving</t>
  </si>
  <si>
    <t>Inactive Not Receiving</t>
  </si>
  <si>
    <t>Actives Eligible for  Benefits</t>
  </si>
  <si>
    <t>All Active</t>
  </si>
  <si>
    <t>Expected Benefit Payment</t>
  </si>
  <si>
    <t>Net DOR/DIR</t>
  </si>
  <si>
    <t>Discount Rate -1%</t>
  </si>
  <si>
    <t>Discount Rate +1%</t>
  </si>
  <si>
    <t>HC Trend Rates -1%</t>
  </si>
  <si>
    <t>HC Trend Rates +1%</t>
  </si>
  <si>
    <t>Service Cost</t>
  </si>
  <si>
    <t>Changes in Benefits</t>
  </si>
  <si>
    <t>Experience</t>
  </si>
  <si>
    <t>Changes in Asumptions</t>
  </si>
  <si>
    <t>Benefits Paid</t>
  </si>
  <si>
    <t>Cuurent Period Changes in Benefits</t>
  </si>
  <si>
    <t>Recogn of O/I due to Liab</t>
  </si>
  <si>
    <t>Other Liability</t>
  </si>
  <si>
    <t>Year +1</t>
  </si>
  <si>
    <t>Year +2</t>
  </si>
  <si>
    <t>Year +3</t>
  </si>
  <si>
    <t>Year +4</t>
  </si>
  <si>
    <t>Year + 5</t>
  </si>
  <si>
    <t>Achievement School District</t>
  </si>
  <si>
    <t>Alamo City Bd Ed</t>
  </si>
  <si>
    <t>Alcoa City Sch</t>
  </si>
  <si>
    <t>Anderson County Schools</t>
  </si>
  <si>
    <t>Athens City Schools</t>
  </si>
  <si>
    <t>Bedford County Schools</t>
  </si>
  <si>
    <t>Bells City Bd of Education</t>
  </si>
  <si>
    <t>Benton County Schools</t>
  </si>
  <si>
    <t>Bledsoe County Schools</t>
  </si>
  <si>
    <t>Bradford Special School District</t>
  </si>
  <si>
    <t>Bradley County Board of Education</t>
  </si>
  <si>
    <t>Bristol City Schools</t>
  </si>
  <si>
    <t>Campbell County Schools</t>
  </si>
  <si>
    <t>Cannon County Schools</t>
  </si>
  <si>
    <t>Carroll County Schools</t>
  </si>
  <si>
    <t>Carter County Schools</t>
  </si>
  <si>
    <t>Cheatham County Schools</t>
  </si>
  <si>
    <t>Chester County Schools</t>
  </si>
  <si>
    <t>City Dayton Sch</t>
  </si>
  <si>
    <t>Clay County Schools</t>
  </si>
  <si>
    <t>Cleveland City Schools</t>
  </si>
  <si>
    <t>Clinton Schools</t>
  </si>
  <si>
    <t>Cocke County Schools</t>
  </si>
  <si>
    <t>Coffee County Schools</t>
  </si>
  <si>
    <t>Covington City Schools</t>
  </si>
  <si>
    <t>Crockett County Schools</t>
  </si>
  <si>
    <t>Cumberland County Schools</t>
  </si>
  <si>
    <t>Decatur County Schools</t>
  </si>
  <si>
    <t>Dekalb County Schools</t>
  </si>
  <si>
    <t>Dickson Co. Board of Education</t>
  </si>
  <si>
    <t>Dir Pay TE Ret Med</t>
  </si>
  <si>
    <t>Dyer County Schools</t>
  </si>
  <si>
    <t>Dyersburg City Schools</t>
  </si>
  <si>
    <t>Elizabethton City Schools</t>
  </si>
  <si>
    <t>Etowah City Bd of Ed</t>
  </si>
  <si>
    <t>Fayette County Schools</t>
  </si>
  <si>
    <t>Fayetteville Schools</t>
  </si>
  <si>
    <t>Fentress County Schools</t>
  </si>
  <si>
    <t>Franklin County Schools</t>
  </si>
  <si>
    <t>Franklin Special School District</t>
  </si>
  <si>
    <t>Frayser Community Schools</t>
  </si>
  <si>
    <t>Freedom Preparatory Academy</t>
  </si>
  <si>
    <t>Gestalt Community Schools</t>
  </si>
  <si>
    <t>Gibson County Bd of Ed</t>
  </si>
  <si>
    <t>Giles County Schools</t>
  </si>
  <si>
    <t>GRAD Restart Academies, Inc.</t>
  </si>
  <si>
    <t>Grainger County Schools</t>
  </si>
  <si>
    <t>Greene County Schools</t>
  </si>
  <si>
    <t>Greenville City Schools</t>
  </si>
  <si>
    <t>Grundy County Schools</t>
  </si>
  <si>
    <t>H R Bruce Sp Sch</t>
  </si>
  <si>
    <t>Hamblen County Schools</t>
  </si>
  <si>
    <t>Hancock County Schools</t>
  </si>
  <si>
    <t>Hardeman County Schools</t>
  </si>
  <si>
    <t>Hardin County Schools</t>
  </si>
  <si>
    <t>Harriman School</t>
  </si>
  <si>
    <t>Hawkins County Schools</t>
  </si>
  <si>
    <t>Haywood County Schools</t>
  </si>
  <si>
    <t>Henderson County Schools</t>
  </si>
  <si>
    <t>Henry County Board of Education</t>
  </si>
  <si>
    <t>Hickman County Schools</t>
  </si>
  <si>
    <t>Hollow Rock-Bruceton Spec Sch Dist</t>
  </si>
  <si>
    <t>Houston County Schools</t>
  </si>
  <si>
    <t>Humboldt</t>
  </si>
  <si>
    <t>Humphreys County Schools</t>
  </si>
  <si>
    <t>Huntingdon Sp Sch</t>
  </si>
  <si>
    <t>Jackson County Schools</t>
  </si>
  <si>
    <t>Jackson-Madison County Board of Education</t>
  </si>
  <si>
    <t>Jefferson County Schools</t>
  </si>
  <si>
    <t>Johnson County Board of Education</t>
  </si>
  <si>
    <t>Johnson County BOE</t>
  </si>
  <si>
    <t>Kingsport</t>
  </si>
  <si>
    <t>KIPP Memphis Collegiate Schools</t>
  </si>
  <si>
    <t>Knox County Schools</t>
  </si>
  <si>
    <t>Lake County Schools</t>
  </si>
  <si>
    <t>Lauderdale County Schools</t>
  </si>
  <si>
    <t>Lawrence County Schools</t>
  </si>
  <si>
    <t>LEAD Public Schools</t>
  </si>
  <si>
    <t>Lebanon Special School District</t>
  </si>
  <si>
    <t>Lenoir City</t>
  </si>
  <si>
    <t>Lewis County Schools</t>
  </si>
  <si>
    <t>Lexington City Schools</t>
  </si>
  <si>
    <t>Libertas School of Memphis</t>
  </si>
  <si>
    <t>Lincoln County Schools</t>
  </si>
  <si>
    <t>Little Tn Vly Ed</t>
  </si>
  <si>
    <t>Loudon County Schools</t>
  </si>
  <si>
    <t>Macon County Schools</t>
  </si>
  <si>
    <t>Manchester Schools</t>
  </si>
  <si>
    <t>Marion County Schools</t>
  </si>
  <si>
    <t>Marshall County Schools</t>
  </si>
  <si>
    <t>Maury County Schools</t>
  </si>
  <si>
    <t>McKenzie Special School District</t>
  </si>
  <si>
    <t>McMinn County Center for Educational Excellence</t>
  </si>
  <si>
    <t>McNairy County School System</t>
  </si>
  <si>
    <t>Meigs County Board of Education</t>
  </si>
  <si>
    <t>Milan Special School District</t>
  </si>
  <si>
    <t>Monroe County Board of Education</t>
  </si>
  <si>
    <t>Moore County Schools</t>
  </si>
  <si>
    <t>Morgan County Schools</t>
  </si>
  <si>
    <t>Morristown Schools</t>
  </si>
  <si>
    <t>MS Loc Ed Sup Direct Pay</t>
  </si>
  <si>
    <t>MS Sullivan Co Supp Staf</t>
  </si>
  <si>
    <t>Murfreesboro City Schools</t>
  </si>
  <si>
    <t>Newport City Sc</t>
  </si>
  <si>
    <t>Oak Ridge Schools</t>
  </si>
  <si>
    <t>Obion County Schools</t>
  </si>
  <si>
    <t>Oneida Spec Sch</t>
  </si>
  <si>
    <t>Overton County Schools</t>
  </si>
  <si>
    <t>Paris Special School District</t>
  </si>
  <si>
    <t>Perry County Schools</t>
  </si>
  <si>
    <t>Pickett County Schools</t>
  </si>
  <si>
    <t>Polk County Board of Education</t>
  </si>
  <si>
    <t>Promise Academy Spring Hill, Inc.</t>
  </si>
  <si>
    <t>Putnam County Schools</t>
  </si>
  <si>
    <t>Rhea County Schools</t>
  </si>
  <si>
    <t>Richard Hardy Memorial School</t>
  </si>
  <si>
    <t>Roane County Schools</t>
  </si>
  <si>
    <t>Robertson County Schools</t>
  </si>
  <si>
    <t>Rogersville City Schools</t>
  </si>
  <si>
    <t>S. Carroll Co Sp Dist-Non</t>
  </si>
  <si>
    <t>Scott County Schools</t>
  </si>
  <si>
    <t>Sequatchie County Schools</t>
  </si>
  <si>
    <t>Sevier County Schools</t>
  </si>
  <si>
    <t>Smith County Schools</t>
  </si>
  <si>
    <t>Stewart County Schools (BOE)</t>
  </si>
  <si>
    <t>Sullivan County Board of Education</t>
  </si>
  <si>
    <t>Sumner County Board of Education</t>
  </si>
  <si>
    <t>Sweetwater Sch</t>
  </si>
  <si>
    <t>Teacher-Retiree</t>
  </si>
  <si>
    <t>Tipton County Schools</t>
  </si>
  <si>
    <t>Trenton Spec Sch</t>
  </si>
  <si>
    <t>Tri Co Voc S Te</t>
  </si>
  <si>
    <t>Tri County Vocational School</t>
  </si>
  <si>
    <t>Trousdale County Schools</t>
  </si>
  <si>
    <t>Tullahoma</t>
  </si>
  <si>
    <t>Unicoi County Schools</t>
  </si>
  <si>
    <t>Union City Bd of Ed</t>
  </si>
  <si>
    <t>Union County Schools</t>
  </si>
  <si>
    <t>Van Buren County Schools</t>
  </si>
  <si>
    <t>W Carroll Sp Sch</t>
  </si>
  <si>
    <t>Warren County Schools</t>
  </si>
  <si>
    <t>Washington Bd of Ed</t>
  </si>
  <si>
    <t>Wayne County Schools</t>
  </si>
  <si>
    <t>Weakley County Schools</t>
  </si>
  <si>
    <t>White County Schools</t>
  </si>
  <si>
    <t>Williamson County Schools</t>
  </si>
  <si>
    <t>DOR - Experience</t>
  </si>
  <si>
    <t>DIR - Experience</t>
  </si>
  <si>
    <t>DOR - Other</t>
  </si>
  <si>
    <t>DIR - Other</t>
  </si>
  <si>
    <t xml:space="preserve">Collective DOR </t>
  </si>
  <si>
    <t xml:space="preserve">State Share  DOR </t>
  </si>
  <si>
    <t xml:space="preserve">Local Share  DOR </t>
  </si>
  <si>
    <t>Expected Benefit Payment (not shares)</t>
  </si>
  <si>
    <t>Sensitivity Total</t>
  </si>
  <si>
    <t>Sensitivity - State Share</t>
  </si>
  <si>
    <t>Sensitivity - Loclal Share</t>
  </si>
  <si>
    <t>Collective TOL - Beg</t>
  </si>
  <si>
    <t>State Beg Share</t>
  </si>
  <si>
    <t>Collective TOL - End</t>
  </si>
  <si>
    <t>State TOL</t>
  </si>
  <si>
    <t>State Share</t>
  </si>
  <si>
    <t>Local Share</t>
  </si>
  <si>
    <t>Collective TOL</t>
  </si>
  <si>
    <t>Collective Expense</t>
  </si>
  <si>
    <t>State Share/Support</t>
  </si>
  <si>
    <t>Collective DOR</t>
  </si>
  <si>
    <t>Collective DIR</t>
  </si>
  <si>
    <t>Year 1</t>
  </si>
  <si>
    <t>Year 2</t>
  </si>
  <si>
    <t>Year 3</t>
  </si>
  <si>
    <t>Year 4</t>
  </si>
  <si>
    <t>Year 5</t>
  </si>
  <si>
    <t>Years 6+</t>
  </si>
  <si>
    <t xml:space="preserve">State </t>
  </si>
  <si>
    <t xml:space="preserve">Local </t>
  </si>
  <si>
    <t>All amounts are rounded to the dollar</t>
  </si>
  <si>
    <t>Required OPEB Accounting Entries for Fiscal Year Ended June 30, 2018 Teacher Group OPEB Plan (TGOP)</t>
  </si>
  <si>
    <r>
      <rPr>
        <sz val="11"/>
        <color rgb="FFFF0000"/>
        <rFont val="Calibri"/>
        <family val="2"/>
        <scheme val="minor"/>
      </rPr>
      <t>NOTE</t>
    </r>
    <r>
      <rPr>
        <sz val="11"/>
        <color theme="1"/>
        <rFont val="Calibri"/>
        <family val="2"/>
        <scheme val="minor"/>
      </rPr>
      <t xml:space="preserve">: These journal entries have been prepared to assist management with the required OPEB entries.  It is the responsibility of management to understand the entries and to verify the amounts against the valuation results. </t>
    </r>
  </si>
  <si>
    <t>Employer Provided</t>
  </si>
  <si>
    <t>Experience related DO/DI amortization</t>
  </si>
  <si>
    <t>(if amount is negative, the debit will be to a deferred outflow account and the credit will be to the OPEB liability account)</t>
  </si>
  <si>
    <t>1) DO Benefit Payments Subsequent to Measurement Date TGOP</t>
  </si>
  <si>
    <t>2) Deferred Inflow of Resources 2018 Change in Assumptions TGOP</t>
  </si>
  <si>
    <t>TGOP</t>
  </si>
  <si>
    <t>The [entity] has a special funding situation related to benefits paid by the State of Tennessee for its eligible retired employees participating in the TGOP. [entity]'s proportionate share of the collective total OPEB liability was based on a projection of the employers long-term share of benefit payments to the OPEB plan relative to the projected share of benefit payments of all participating employers and nonemployer contributing entities, actuarially determined.  The proportion changed xx.xx% from the prior measurement date. [Entity] recognized $xx.xx in revenue for subsidies provided by nonemployer contributing entities for benefits paid by the TGOP for [entity] retirees.</t>
  </si>
  <si>
    <t>Closed Teacher Group OPEB Plan</t>
  </si>
  <si>
    <r>
      <rPr>
        <b/>
        <i/>
        <sz val="10"/>
        <rFont val="Times New Roman"/>
        <family val="1"/>
      </rPr>
      <t>Employees covered by benefit terms</t>
    </r>
    <r>
      <rPr>
        <sz val="10"/>
        <rFont val="Times New Roman"/>
        <family val="1"/>
      </rPr>
      <t xml:space="preserve"> - At July 1, 2017, the following employees of [entity name] was covered by the benefit terms of the TGOP:</t>
    </r>
  </si>
  <si>
    <r>
      <rPr>
        <b/>
        <i/>
        <sz val="10"/>
        <rFont val="Times New Roman"/>
        <family val="1"/>
      </rPr>
      <t>Benefits provided</t>
    </r>
    <r>
      <rPr>
        <sz val="10"/>
        <rFont val="Times New Roman"/>
        <family val="1"/>
      </rPr>
      <t xml:space="preserve"> - The [entity] offers the TGOP to provide health insurance coverage to eligible pre-65 retired teachers, support staff and disabled participants of local education agencies. Insurance coverage is the only postemployment benefit provided to retirees. An insurance committee created in accordance with TCA 8-27-301 establishes and amends the benefit terms of the TGOP. All members have the option of choosing between the partnership promise preferred provider organization (PPO), no partnership promise PPO, standard PPO, limited PPO or the wellness healthsavings consumer-driven health plan (CDHP) for healthcare benefits. Retired plan members, of the TGOP, receives the same plan benefits as active employees, at a blended premium rate that considers the cost of all participants. This creates an implicit subsidy for retirees. Participating employers determine their own policy related to direct subsidies provided for the retiree premiums.</t>
    </r>
    <r>
      <rPr>
        <b/>
        <sz val="10"/>
        <rFont val="Times New Roman"/>
        <family val="1"/>
      </rPr>
      <t>[Entities should insert language to explain their direct subsidy policy for pre-65 retiree insurance coverage or the fact that they do not directly subsidize and are only subject to the implicit].</t>
    </r>
    <r>
      <rPr>
        <sz val="10"/>
        <rFont val="Times New Roman"/>
        <family val="1"/>
      </rPr>
      <t xml:space="preserve"> The state, as a governmental nonemployer contributing entity, provides a direct subsidy for eligible retirees premiums, based on years of service. Therefore, retirees with 30 or more years of service will receive 45%; 20 but less than 30 years, 35%; and less than 20 years, 20% of the scheduled premium. No subsidy is provided for enrollees of the healthsavings CDHP.   The TGOP is funded on a pay-as-you-go basis and there are no assets accumulating in a trust that meets the criteria of paragraph 4 of GASB Statement No. 75.</t>
    </r>
  </si>
  <si>
    <r>
      <rPr>
        <b/>
        <i/>
        <sz val="10"/>
        <rFont val="Times New Roman"/>
        <family val="1"/>
      </rPr>
      <t>Plan description</t>
    </r>
    <r>
      <rPr>
        <sz val="10"/>
        <rFont val="Times New Roman"/>
        <family val="1"/>
      </rPr>
      <t xml:space="preserve"> - Employees of [entity], who were hired prior to July 1, 2015, are provided with pre-65 retiree health insurance benefits through the closed Teacher Group OPEB Plan (TGOP) administered by the Tennessee Department of Finance and Administration. This plan is considered to be a multiple-employer defined benefit plan that is used to provide postemployment benefits other than pensions (OPEB). However, for accounting purposes, this plan will be treated as a single-employer plan. All eligible pre-65 retired teachers, support staff and disability participants of local education agencies, who choose coverage, participate in the TGOP.  This plan is closed to the employees of all participating employers that were hired on or after July 1, 2015.</t>
    </r>
  </si>
  <si>
    <t>TGOP - (expressed in thousands)</t>
  </si>
  <si>
    <t>Rounded to 000's</t>
  </si>
  <si>
    <t>Change in proportion</t>
  </si>
  <si>
    <t>Revenue for subsidies</t>
  </si>
  <si>
    <r>
      <rPr>
        <b/>
        <i/>
        <sz val="10"/>
        <rFont val="Times New Roman"/>
        <family val="1"/>
      </rPr>
      <t>Sensitivity of proportionate share of the collective total OPEB liability to changes in the discount rate</t>
    </r>
    <r>
      <rPr>
        <sz val="10"/>
        <rFont val="Times New Roman"/>
        <family val="1"/>
      </rPr>
      <t xml:space="preserve"> - The following presents the proportionate share of the collective total OPEB liability related to the TGOP, as well as what the proportionate share of the collective total OPEB liability would be if it were calculated using a discount rate that is 1-percentage-point lower (2.56%) or 1-percentage-point higher (4.56%) than the current discount rate. (expressed in thousands)</t>
    </r>
  </si>
  <si>
    <r>
      <rPr>
        <b/>
        <i/>
        <sz val="10"/>
        <rFont val="Times New Roman"/>
        <family val="1"/>
      </rPr>
      <t>Deferred outflows of resources and deferred inflows of resources</t>
    </r>
    <r>
      <rPr>
        <sz val="10"/>
        <rFont val="Times New Roman"/>
        <family val="1"/>
      </rPr>
      <t xml:space="preserve"> - For the fiscal year ended June, 30, 2018, [entity] reported deferred outflows of resources and deferred inflows of resources related to OPEB benefits in the TGOP from the following sources:</t>
    </r>
  </si>
  <si>
    <t>EMPLOYER PROVIDED</t>
  </si>
  <si>
    <t>This amount is provided by the employer.  Covered employee payroll should be the total payroll paid to full time employees, hired prior to July 1, 2015, during FY2017.  This number should include terminated employees and exclude employees who reached the age of 65 before June 30, 2018.</t>
  </si>
  <si>
    <t>SR - Arlington Municipal Schools</t>
  </si>
  <si>
    <t>SR - ASD-Aspire Public Schools</t>
  </si>
  <si>
    <t>SR - ASD-Capstone Education</t>
  </si>
  <si>
    <t>SR - ASD-Green Dot Public Schools</t>
  </si>
  <si>
    <t>SR - ASD-Scholar Academies</t>
  </si>
  <si>
    <t>SR - Bartlett Municpal Schools</t>
  </si>
  <si>
    <t>SR - Blount County Schools</t>
  </si>
  <si>
    <t>SR - Collierville Municipal Schools</t>
  </si>
  <si>
    <t>SR - Davidson County Schools</t>
  </si>
  <si>
    <t>SR - Freedom Prep Charter School - Shelby Co Teachers</t>
  </si>
  <si>
    <t>SR - Germantown Municipal Schools</t>
  </si>
  <si>
    <t>SR - Gestalt Community Schools</t>
  </si>
  <si>
    <t>Hamilton County Schools</t>
  </si>
  <si>
    <t>SR - Hamilton County Schools</t>
  </si>
  <si>
    <t>SR - Kipp Nashville Schools</t>
  </si>
  <si>
    <t>SR - Lakeland Municpal Schools</t>
  </si>
  <si>
    <t>Memphis City Charter School Teachers</t>
  </si>
  <si>
    <t>SR - Memphis City Schools</t>
  </si>
  <si>
    <t>SR - Millington Municipal Schools</t>
  </si>
  <si>
    <t>SR - Montgomery County Schools</t>
  </si>
  <si>
    <t>Rutherford County Schools</t>
  </si>
  <si>
    <t>SR - Rutherford County Schools</t>
  </si>
  <si>
    <t>SR - Shelby County Board Of Education Teachers</t>
  </si>
  <si>
    <t>Shelby County Schools</t>
  </si>
  <si>
    <t>SR - Williamson County Schools</t>
  </si>
  <si>
    <t>Wilson County Schools</t>
  </si>
  <si>
    <t>SR - Wilson County Schools</t>
  </si>
  <si>
    <t xml:space="preserve">Restated BOY Total OPEB Liability </t>
  </si>
  <si>
    <t>amortization of 18 experience</t>
  </si>
  <si>
    <t>NOTE - This note disclosure is only to be used by employers that have a proportional share of the collective total OPEB liability for their entity.  If an employer has not been allocated a proportional share of the liability, in the Tennessee OPEB Plan, they are required to make dislcosures as shown on the "75 TN Plan LEA with 0% Prop Sha" tab.</t>
  </si>
  <si>
    <t>Required OPEB Accounting Entries for Fiscal Year Ended June 30, 2018 Tennessee OPEB Plan (TNP)</t>
  </si>
  <si>
    <t>NOTE: If your entity has an amount for the beginning and ending OPEB liability, use the "75 TN Plan LEA with Prop Sha" tab for the proper TNP note disclosure.  If your entity does not have an amount for the beginning or ending balance for a liability related to the Tennessee Plan, please use the "75 TN Plan LEA with 0% Prop Sha" tab for the proper TN plan note disclosure.  Employers that do not have a proportional share of the OPEB liability, in the Tennessee Plan, will still have to report other amounts as shown in entries below (primarily OPEB expense, OPEB revenue and on-behalf amounts).</t>
  </si>
  <si>
    <t>Modified accrual statements</t>
  </si>
  <si>
    <t xml:space="preserve">TNOP </t>
  </si>
  <si>
    <t>Liab</t>
  </si>
  <si>
    <t>DO</t>
  </si>
  <si>
    <t>DI</t>
  </si>
  <si>
    <t>OPEB Exp</t>
  </si>
  <si>
    <t>total</t>
  </si>
  <si>
    <r>
      <rPr>
        <b/>
        <i/>
        <sz val="10"/>
        <rFont val="Times New Roman"/>
        <family val="1"/>
      </rPr>
      <t>Benefits provided</t>
    </r>
    <r>
      <rPr>
        <sz val="10"/>
        <rFont val="Times New Roman"/>
        <family val="1"/>
      </rPr>
      <t xml:space="preserve"> - The state offers the TNP to help fill most of the coverage gaps created by Medicare for eligible post-65 retired teachers and disabled participants of local education agencies. Insurance coverage is the only postemployment benefit provided to retirees. The TNP does not include pharmacy. In accordance with TCA 8-27-209, benefits of the TNP are established and amended by cooperation of insurance committees created by TCA 8-27-201, 8-27-301 and 8-27-701.  Retirees and disabled employees of the state, component units, local education agencies, and certain local governments who have reached the age of 65, are Medicare eligible and also receives a benefit from the Tennessee Consolidated Retirement System may participate in this plan. All plan members receive the same plan benefits at the same premium rates.  Participating employers determine their own policy related to subsidizing the retiree premiums. </t>
    </r>
    <r>
      <rPr>
        <b/>
        <sz val="10"/>
        <rFont val="Times New Roman"/>
        <family val="1"/>
      </rPr>
      <t>[Entities should insert language to explain their direct subsidy policy for post-65 retiree insurance coverage or the fact that they do not directly subsidize]</t>
    </r>
    <r>
      <rPr>
        <sz val="10"/>
        <rFont val="Times New Roman"/>
        <family val="1"/>
      </rPr>
      <t>.The state, as a governmental nonemployer contributing entity contributes to the premiums of eligible retirees of local education agencies based on years of service. Therefore, retirees with 30 years of service receive $50 per month; 20 but less than 30 years, $37.50; and 15 but less than 20 years, $25. The TNP is funded on a pay-as-you-go basis and there are no assets accumulating in a trust that meets the criteria of paragraph 4 of GASB Statement No. 75.</t>
    </r>
  </si>
  <si>
    <t>Paid during reporting period</t>
  </si>
  <si>
    <t xml:space="preserve">An insurance committee, created in accordance with TCA 8-27-301, establishes the required payments to the TGOP by member employers and employees through the blended premiums established for active and retired employees. Claims liabilities of the plan are periodically computed using actuarial and statistical techniques to establish premium rates.  Administrative costs are allocated to plan participants. Employers contribute towards employee costs based on their own developed policies.  During the current reporting period, the [entity name] paid $xxx.xxx million to the TGOP for OPEB benefits as they came due. </t>
  </si>
  <si>
    <t>TNP - (expressed in thousands)</t>
  </si>
  <si>
    <r>
      <rPr>
        <b/>
        <i/>
        <sz val="10"/>
        <rFont val="Times New Roman"/>
        <family val="1"/>
      </rPr>
      <t>Sensitivity of proportionate share of the collective total OPEB liability to changes in the discount rate</t>
    </r>
    <r>
      <rPr>
        <sz val="10"/>
        <rFont val="Times New Roman"/>
        <family val="1"/>
      </rPr>
      <t xml:space="preserve"> - The following presents the proportionate share of the collective total OPEB liability related to the TNP, as well as what the proportionate share of the collective total OPEB liability would be if it were calculated using a discount rate that is 1-percentage-point lower (2.56%) or 1-percentage-point higher (4.56%) than the current discount rate. (expressed in thousands)</t>
    </r>
  </si>
  <si>
    <t>This statement is not accurate for certain schools.  Please take a look at your sensistivity table for your entity.  IF the liability changes along with the increase/decrease in health trend rate, please adjust wording to include what the actual health trend information that is located in the assumptions information included in the valuation report.</t>
  </si>
  <si>
    <t xml:space="preserve">NOTE - If your entity shows the same amounts regardless of change in health trend information, this section of the note is not necessary.  Only include this section if a different amount shows in the 3 comparison cells. </t>
  </si>
  <si>
    <t>Last Fiscal Year
(dollar amounts in thousands)</t>
  </si>
  <si>
    <t>While the State contributes to the post-65 cost of all eligible LEA retirees, there are many employers that do not provide a direct subsidy in the TN Plan. The instructions below assume that the employer has a 0% proportion of the collective total OPEB liability due to the governmental nonemployer contributing entity being the only entity with a legal obligation to contribute to the OPEB cost of the employers retirees in the TN plan. In this situation, no OPEB liability or deferred inflow/outflow related to OPEB would be reported by the employer. IF an employer is determined to have a share of the collective OPEB liability in the TNP, they are required to make the disclosures as shown on the "75 TN Plan LEA with Prop Sha" tab.</t>
  </si>
  <si>
    <t>Tennessee (Medicare Supplement) Plan - PayGo In Special Funding Situation - Local Education Agency Reporting.  Employer has a 0% proportionate share.</t>
  </si>
  <si>
    <t>Tennessee (Medicare Supplement) Plan - PayGo In Special Funding Situation - Local Education Agency Reporting.  Employer has a proportionate share of OPEB liability</t>
  </si>
  <si>
    <r>
      <rPr>
        <b/>
        <i/>
        <sz val="10"/>
        <rFont val="Times New Roman"/>
        <family val="1"/>
      </rPr>
      <t>Sensitivity of proportionate share of the collective total OPEB liability to changes in the discount rate</t>
    </r>
    <r>
      <rPr>
        <sz val="10"/>
        <rFont val="Times New Roman"/>
        <family val="1"/>
      </rPr>
      <t xml:space="preserve"> - The following presents the proportionate share of the collective total OPEB liability related to the TNP, as well as what the proportionate share of the collective total OPEB liability would be if it were calculated using a discount rate that is 1-percentage-point lower (2.56%) or 1-percentage-point higher (4.56%) than the current discount rate. (expressed in thoudands)</t>
    </r>
  </si>
  <si>
    <t>Source of Information</t>
  </si>
  <si>
    <t>GASB Reference</t>
  </si>
  <si>
    <t>Make sure proper entity is also selected on the other note tabs</t>
  </si>
  <si>
    <t>Narrative prepared by Finance and Administration, Division of Accounts staff.</t>
  </si>
  <si>
    <t>Narrative prepared by Finance and Administration, Division of Accounts staff. Individual employer will provide narrative on specific direct funding policy.</t>
  </si>
  <si>
    <t>Executive Summary page of individual valuation report</t>
  </si>
  <si>
    <t>Same as above</t>
  </si>
  <si>
    <t>Narrative prepared by Finance and Administration, Division of Accounts staff. Current year payments is found on Executive Summary page of individual valuation.  Amount is titled Estimated Outflow of Resources Paid After the Measurement Date</t>
  </si>
  <si>
    <t>Notes to Schedule of Changes in Total OPEB Liability and Related Ratios page.</t>
  </si>
  <si>
    <t>Narrative prepared by Finance and Administration, Division of Accounts staff. Detail appears in the overall valuation report.</t>
  </si>
  <si>
    <t>Schedule of Changes in Total OPEB Liability and Related Ratios</t>
  </si>
  <si>
    <t>Sensitivity of Total OPEB Liability and Other Relevant Information</t>
  </si>
  <si>
    <t xml:space="preserve">Statement of OPEB Expense </t>
  </si>
  <si>
    <t>Calculated</t>
  </si>
  <si>
    <t>Same as Above</t>
  </si>
  <si>
    <t>This amount is provided by the employer.  Covered employee payroll should be the total payroll paid to full time employees, hired prior to July 1, 2015, during FY2017.  This number should include terminated employees and include employees who reached the age of 65 before June 30, 2018.</t>
  </si>
  <si>
    <r>
      <t xml:space="preserve">1) Prior period adjustment to record the employers proportionate share of the collective OPEB liability at the beginning of the measurement period (June 30, 2016 - June 30, 2017). The employer balance, per fiscal year 17 financials, is provided by the employer. The proper beginning balance, per the valuation, is found on the </t>
    </r>
    <r>
      <rPr>
        <b/>
        <i/>
        <sz val="11"/>
        <color theme="1"/>
        <rFont val="Calibri"/>
        <family val="2"/>
        <scheme val="minor"/>
      </rPr>
      <t>Schedule of Changes in Total OPEB Liability and Related Ratios</t>
    </r>
    <r>
      <rPr>
        <b/>
        <sz val="11"/>
        <color theme="1"/>
        <rFont val="Calibri"/>
        <family val="2"/>
        <scheme val="minor"/>
      </rPr>
      <t xml:space="preserve"> on the Employer's Share of the Total OPEB Liability - Beginning line. (GASB75, par 193; par 244 par 244(b))</t>
    </r>
  </si>
  <si>
    <r>
      <t xml:space="preserve">2)    Prior period adjustment to record the beginning balance of the deferred outflow of resources for benefit payments made subsequent to the measurement date of the beginning collective total OPEB liability but before the beginning of the employer fiscal year.  It is recommended that each plan use separate accounts for the deferrals. This should aid in reviews and validations. This amount is found by multiplying the total on the </t>
    </r>
    <r>
      <rPr>
        <b/>
        <i/>
        <sz val="11"/>
        <color theme="1"/>
        <rFont val="Calibri"/>
        <family val="2"/>
        <scheme val="minor"/>
      </rPr>
      <t xml:space="preserve">Schedule of Changes in Total OPEB Liability and Related Ratios </t>
    </r>
    <r>
      <rPr>
        <b/>
        <sz val="11"/>
        <color theme="1"/>
        <rFont val="Calibri"/>
        <family val="2"/>
        <scheme val="minor"/>
      </rPr>
      <t>on the Benefits payments line by the Employer's Proportion found in section B of the same schedule. FY2018 only (GASB75, par 244 par 244(b))</t>
    </r>
  </si>
  <si>
    <r>
      <t xml:space="preserve">4)    An entry to record revenue in an amount equal to the total of the 1) non-employer contributing entity total proportionate share of collective OPEB expense and 2) the non-employer proportionate share of OPEB admin expense.  This amount can be found on the </t>
    </r>
    <r>
      <rPr>
        <b/>
        <i/>
        <sz val="11"/>
        <color theme="1"/>
        <rFont val="Calibri"/>
        <family val="2"/>
        <scheme val="minor"/>
      </rPr>
      <t>Executive Summary</t>
    </r>
    <r>
      <rPr>
        <b/>
        <sz val="11"/>
        <color theme="1"/>
        <rFont val="Calibri"/>
        <family val="2"/>
        <scheme val="minor"/>
      </rPr>
      <t>. (GASB75, par 200)</t>
    </r>
  </si>
  <si>
    <r>
      <t xml:space="preserve">3)    Entry to record the employers collective OPEB expense recognized for the measurement period. This amount can be found on the </t>
    </r>
    <r>
      <rPr>
        <b/>
        <i/>
        <sz val="11"/>
        <color theme="1"/>
        <rFont val="Calibri"/>
        <family val="2"/>
        <scheme val="minor"/>
      </rPr>
      <t xml:space="preserve">Statement of OPEB Expense </t>
    </r>
    <r>
      <rPr>
        <b/>
        <sz val="11"/>
        <color theme="1"/>
        <rFont val="Calibri"/>
        <family val="2"/>
        <scheme val="minor"/>
      </rPr>
      <t>as well as on the</t>
    </r>
    <r>
      <rPr>
        <b/>
        <i/>
        <sz val="11"/>
        <color theme="1"/>
        <rFont val="Calibri"/>
        <family val="2"/>
        <scheme val="minor"/>
      </rPr>
      <t xml:space="preserve"> Executive Summary</t>
    </r>
    <r>
      <rPr>
        <b/>
        <sz val="11"/>
        <color theme="1"/>
        <rFont val="Calibri"/>
        <family val="2"/>
        <scheme val="minor"/>
      </rPr>
      <t>. (GASB75, par 194-198)</t>
    </r>
  </si>
  <si>
    <r>
      <t xml:space="preserve">5)    Entry to record the annual increase to the employers proportionate share of 2018 collective deferred inflows/outflows of resources related to differences between expected and actual experience. Each year’s increase will have its own separate amortization period (based on expected service lives of covered employees). It is recommended that employers track these deferrals in separate accounts to ease with tracking and validation of amounts. This amount can be found on the </t>
    </r>
    <r>
      <rPr>
        <b/>
        <i/>
        <sz val="11"/>
        <color theme="1"/>
        <rFont val="Calibri"/>
        <family val="2"/>
        <scheme val="minor"/>
      </rPr>
      <t>Schedule of Changes in Total OPEB Liability and Related Ratios</t>
    </r>
    <r>
      <rPr>
        <b/>
        <sz val="11"/>
        <color theme="1"/>
        <rFont val="Calibri"/>
        <family val="2"/>
        <scheme val="minor"/>
      </rPr>
      <t xml:space="preserve"> on the Differences between expected and actual experience of the Total OPEB Liability. (GASB75, par 194; par 157(a)(1))  N/A for 2018</t>
    </r>
  </si>
  <si>
    <r>
      <t xml:space="preserve">6)    Entry to record the current year amortization of the employers’ proportionate share of collective deferred inflows of resources related to FY2018 differences between expected and actual experience.  This amount can be found on the </t>
    </r>
    <r>
      <rPr>
        <b/>
        <i/>
        <sz val="11"/>
        <color theme="1"/>
        <rFont val="Calibri"/>
        <family val="2"/>
        <scheme val="minor"/>
      </rPr>
      <t>Statement of Remaining Deferred Outflows and Inflows of Resources</t>
    </r>
    <r>
      <rPr>
        <b/>
        <sz val="11"/>
        <color theme="1"/>
        <rFont val="Calibri"/>
        <family val="2"/>
        <scheme val="minor"/>
      </rPr>
      <t xml:space="preserve">.  However, it is recommended that the employer maintain their own amortization schedules and that the valuation results are used to verify GL balances. The total of all current period amortized deferrals can be reconciled to the </t>
    </r>
    <r>
      <rPr>
        <b/>
        <i/>
        <sz val="11"/>
        <color theme="1"/>
        <rFont val="Calibri"/>
        <family val="2"/>
        <scheme val="minor"/>
      </rPr>
      <t>Statement of OPEB Expense</t>
    </r>
    <r>
      <rPr>
        <b/>
        <sz val="11"/>
        <color theme="1"/>
        <rFont val="Calibri"/>
        <family val="2"/>
        <scheme val="minor"/>
      </rPr>
      <t>. (GASB75, par 194; par 157(a)(1)) N/A for 2018</t>
    </r>
  </si>
  <si>
    <r>
      <t xml:space="preserve">7)    Entry to record the annual increase to the employers proportionate share of collective deferred inflows/outflows of resources related to 2018 changes in assumptions and other inputs. Each year’s increase will have its own separate amortization period (based on expected service lives of covered employees). It is recommended that employers track these deferrals in separate accounts to ease with tracking and validation of amounts. This amount can be found by multiplying the amount on the </t>
    </r>
    <r>
      <rPr>
        <b/>
        <i/>
        <sz val="11"/>
        <color theme="1"/>
        <rFont val="Calibri"/>
        <family val="2"/>
        <scheme val="minor"/>
      </rPr>
      <t>Schedule of Changes in Total OPEB Liability and Related Ratios</t>
    </r>
    <r>
      <rPr>
        <b/>
        <sz val="11"/>
        <color theme="1"/>
        <rFont val="Calibri"/>
        <family val="2"/>
        <scheme val="minor"/>
      </rPr>
      <t xml:space="preserve"> on the Changes of assumptions line by the Employer's Proportion found in section B of the </t>
    </r>
    <r>
      <rPr>
        <b/>
        <i/>
        <sz val="11"/>
        <color theme="1"/>
        <rFont val="Calibri"/>
        <family val="2"/>
        <scheme val="minor"/>
      </rPr>
      <t>Schedule of Changes in Total OPEB Liability and Related Ratios</t>
    </r>
    <r>
      <rPr>
        <b/>
        <sz val="11"/>
        <color theme="1"/>
        <rFont val="Calibri"/>
        <family val="2"/>
        <scheme val="minor"/>
      </rPr>
      <t xml:space="preserve"> . (GASB75, par 194; par 157(a)(2))  </t>
    </r>
  </si>
  <si>
    <r>
      <t xml:space="preserve">8)    Entry to record the current year amortization of the employers’ proportionate share of collective deferred inflows of resources related to FY2018 changes in assumptions and other inputs.  This amount can be found by multiplying the current year amortization found on the </t>
    </r>
    <r>
      <rPr>
        <b/>
        <i/>
        <sz val="11"/>
        <color theme="1"/>
        <rFont val="Calibri"/>
        <family val="2"/>
        <scheme val="minor"/>
      </rPr>
      <t xml:space="preserve">Statement of Remaining Deferred Outflows and Inflows of Resources </t>
    </r>
    <r>
      <rPr>
        <b/>
        <sz val="11"/>
        <color theme="1"/>
        <rFont val="Calibri"/>
        <family val="2"/>
        <scheme val="minor"/>
      </rPr>
      <t>by the Employer's Proportion</t>
    </r>
    <r>
      <rPr>
        <b/>
        <i/>
        <sz val="11"/>
        <color theme="1"/>
        <rFont val="Calibri"/>
        <family val="2"/>
        <scheme val="minor"/>
      </rPr>
      <t xml:space="preserve"> </t>
    </r>
    <r>
      <rPr>
        <b/>
        <sz val="11"/>
        <color theme="1"/>
        <rFont val="Calibri"/>
        <family val="2"/>
        <scheme val="minor"/>
      </rPr>
      <t>found in section B of the</t>
    </r>
    <r>
      <rPr>
        <b/>
        <i/>
        <sz val="11"/>
        <color theme="1"/>
        <rFont val="Calibri"/>
        <family val="2"/>
        <scheme val="minor"/>
      </rPr>
      <t xml:space="preserve"> Schedule of Changes in Total OPEB Liability and Related Ratios</t>
    </r>
    <r>
      <rPr>
        <b/>
        <sz val="11"/>
        <color theme="1"/>
        <rFont val="Calibri"/>
        <family val="2"/>
        <scheme val="minor"/>
      </rPr>
      <t xml:space="preserve">.  However, it is recommended that the employer maintain their own amortization schedules and that the valuation results are used to verify GL balances. The total of all current period amortized deferrals can be reconciled to the </t>
    </r>
    <r>
      <rPr>
        <b/>
        <i/>
        <sz val="11"/>
        <color theme="1"/>
        <rFont val="Calibri"/>
        <family val="2"/>
        <scheme val="minor"/>
      </rPr>
      <t>Statement of OPEB Expense</t>
    </r>
    <r>
      <rPr>
        <b/>
        <sz val="11"/>
        <color theme="1"/>
        <rFont val="Calibri"/>
        <family val="2"/>
        <scheme val="minor"/>
      </rPr>
      <t>. (GASB75, par 194; par 157(a)(2))</t>
    </r>
  </si>
  <si>
    <r>
      <t xml:space="preserve">9)    Entry to record a deferred outflow/ inflow of resources due to the 2018 annual change in the employers proportion of the collective total OPEB liability since the prior measurement date. Each year’s increase will have its own separate amortization period (based on expected service lives of covered employees). It is recommended that employers track these deferrals in separate accounts to ease with tracking and validation of amounts. This amount can be found on the </t>
    </r>
    <r>
      <rPr>
        <b/>
        <i/>
        <sz val="11"/>
        <rFont val="Calibri"/>
        <family val="2"/>
        <scheme val="minor"/>
      </rPr>
      <t>Schedule of Changes in Total OPEB Liability and Related Ratios</t>
    </r>
    <r>
      <rPr>
        <b/>
        <sz val="11"/>
        <rFont val="Calibri"/>
        <family val="2"/>
        <scheme val="minor"/>
      </rPr>
      <t xml:space="preserve"> on the Changes of assumptions line. Amount can be combined and reported net with Entry 11.. (GASB75, par 194, par 196)  N/A for 2018</t>
    </r>
  </si>
  <si>
    <r>
      <t xml:space="preserve">10)    Entry to record the current year amortization of the deferred outflow/ inflow of resources due to the 2018 annual change in the employers proportion of the collective total OPEB liability since the prior measurement date.  This amount can be found on the </t>
    </r>
    <r>
      <rPr>
        <b/>
        <i/>
        <sz val="11"/>
        <color theme="1"/>
        <rFont val="Calibri"/>
        <family val="2"/>
        <scheme val="minor"/>
      </rPr>
      <t>Statement of Remaining Deferred Outflows and Inflows of Resources</t>
    </r>
    <r>
      <rPr>
        <b/>
        <sz val="11"/>
        <color theme="1"/>
        <rFont val="Calibri"/>
        <family val="2"/>
        <scheme val="minor"/>
      </rPr>
      <t xml:space="preserve">.  However, it is recommended that the employer maintain their own amortization schedules and that the valuation results are used to verify GL balances. The total of all current period amortized deferrals can be reconciled to the </t>
    </r>
    <r>
      <rPr>
        <b/>
        <i/>
        <sz val="11"/>
        <color theme="1"/>
        <rFont val="Calibri"/>
        <family val="2"/>
        <scheme val="minor"/>
      </rPr>
      <t>Statement of OPEB Expense</t>
    </r>
    <r>
      <rPr>
        <b/>
        <sz val="11"/>
        <color theme="1"/>
        <rFont val="Calibri"/>
        <family val="2"/>
        <scheme val="minor"/>
      </rPr>
      <t>. Amount can be combined and reported net with Entry 12. (GASB75, par 194, par 196) N/A for 2018</t>
    </r>
  </si>
  <si>
    <r>
      <t xml:space="preserve">11)    Entry to record a deferred outflow/ inflow of resources due to the 2018 annual difference between the employers amount of benefits paid as they came due during the measurement period and the employers proportionate share of the total of all such payments made by employers and nonemployer contributing entities. Each year’s increase will have its own separate amortization period (based on expected service lives of covered employees). It is recommended that employers track these deferrals in separate accounts to ease with tracking and validation of amounts. This amount can be found on the </t>
    </r>
    <r>
      <rPr>
        <b/>
        <i/>
        <sz val="11"/>
        <rFont val="Calibri"/>
        <family val="2"/>
        <scheme val="minor"/>
      </rPr>
      <t>Schedule of Changes in Total OPEB Liability and Related Ratios</t>
    </r>
    <r>
      <rPr>
        <b/>
        <sz val="11"/>
        <rFont val="Calibri"/>
        <family val="2"/>
        <scheme val="minor"/>
      </rPr>
      <t xml:space="preserve"> on the Changes of assumptions line. Amount can be combined and reported net with Entry 9.. (GASB75, par 194, par 196)  N/A for 2018</t>
    </r>
  </si>
  <si>
    <r>
      <t xml:space="preserve">12)    Entry to record the current year amortization of the deferred outflow/ inflow of resources due to the 2018 annual difference between the employers amount of benefits paid as they came due during the measurement period and the employers proportionate share of the total of all such payments made by employers and nonemployer contributing entities.  This amount can be found on the </t>
    </r>
    <r>
      <rPr>
        <b/>
        <i/>
        <sz val="11"/>
        <color theme="1"/>
        <rFont val="Calibri"/>
        <family val="2"/>
        <scheme val="minor"/>
      </rPr>
      <t>Statement of Remaining Deferred Outflows and Inflows of Resources</t>
    </r>
    <r>
      <rPr>
        <b/>
        <sz val="11"/>
        <color theme="1"/>
        <rFont val="Calibri"/>
        <family val="2"/>
        <scheme val="minor"/>
      </rPr>
      <t xml:space="preserve">.  However, it is recommended that the employer maintain their own amortization schedules and that the valuation results are used to verify GL balances. The total of all current period amortized deferrals can be reconciled to the </t>
    </r>
    <r>
      <rPr>
        <b/>
        <i/>
        <sz val="11"/>
        <color theme="1"/>
        <rFont val="Calibri"/>
        <family val="2"/>
        <scheme val="minor"/>
      </rPr>
      <t>Statement of OPEB Expense</t>
    </r>
    <r>
      <rPr>
        <b/>
        <sz val="11"/>
        <color theme="1"/>
        <rFont val="Calibri"/>
        <family val="2"/>
        <scheme val="minor"/>
      </rPr>
      <t>. Amount can be combined and reported net with Entry 10. (GASB75, par 194, par 196) N/A for 2018</t>
    </r>
  </si>
  <si>
    <r>
      <t xml:space="preserve">13)    An entry to recognize the change in the employers proportionate share of the collective total OPEB liability related to benefit payments made during the measurement period. Amounts paid by the employer, for OPEB, as benefits come due should not be recognized in OPEB expense. In the year of implementation, this amount will be a reversal of the same amount recorded in Entry 2.  This amount is found by multiplying the total on the </t>
    </r>
    <r>
      <rPr>
        <b/>
        <i/>
        <sz val="11"/>
        <color theme="1"/>
        <rFont val="Calibri"/>
        <family val="2"/>
        <scheme val="minor"/>
      </rPr>
      <t>Schedule of Changes in Total OPEB Liability and Related Ratios</t>
    </r>
    <r>
      <rPr>
        <b/>
        <sz val="11"/>
        <color theme="1"/>
        <rFont val="Calibri"/>
        <family val="2"/>
        <scheme val="minor"/>
      </rPr>
      <t xml:space="preserve"> on the Benefits payments line by the Employer's Proportion found in section B of the same schedule. (GASB75, par 157(b))</t>
    </r>
  </si>
  <si>
    <r>
      <t xml:space="preserve">14)    An entry to record the deferred outflow of resources for benefits paid subsequent to the measurement date but before the end of the employers reporting period.  The employer will need to determine the expense account for the offset. An estimate of this amount is provided by the actuary in section E of of the </t>
    </r>
    <r>
      <rPr>
        <b/>
        <i/>
        <sz val="11"/>
        <color theme="1"/>
        <rFont val="Calibri"/>
        <family val="2"/>
        <scheme val="minor"/>
      </rPr>
      <t>Statement of Remaining Deferred Outflows and Inflows of Resources</t>
    </r>
    <r>
      <rPr>
        <b/>
        <sz val="11"/>
        <color theme="1"/>
        <rFont val="Calibri"/>
        <family val="2"/>
        <scheme val="minor"/>
      </rPr>
      <t xml:space="preserve">.(GASB75, par 199) </t>
    </r>
  </si>
  <si>
    <r>
      <t xml:space="preserve">15)    For financial statements prepared using the current financial resources measurement focus, an entry to record revenue and expenses related to the on-behalf payments made during the reporting period, by the state, for employer retirees in the TG and TN plans. An estimate of this amount is provided by the actuary in section E of of the </t>
    </r>
    <r>
      <rPr>
        <b/>
        <i/>
        <sz val="11"/>
        <color theme="1"/>
        <rFont val="Calibri"/>
        <family val="2"/>
        <scheme val="minor"/>
      </rPr>
      <t>Statement of Remaining Deferred Outflows and Inflows of Resources</t>
    </r>
    <r>
      <rPr>
        <b/>
        <sz val="11"/>
        <color theme="1"/>
        <rFont val="Calibri"/>
        <family val="2"/>
        <scheme val="minor"/>
      </rPr>
      <t>. (GASB85, par 10)</t>
    </r>
  </si>
  <si>
    <t>7.5% for 2018, decreasing annually to an ultimate rate of 3.71% for 2050 and later years.</t>
  </si>
  <si>
    <t>Executive Summary of valuation</t>
  </si>
  <si>
    <t>calculated</t>
  </si>
  <si>
    <t>Narrative prepared by Finance and Administration, Division of Accounts staff. The total revenue is found in the Executive Summary of the valuation.</t>
  </si>
  <si>
    <t>Healthcare Cost Trend Rates
(7.50% decreasing to 3.71%)</t>
  </si>
  <si>
    <t>1% Increase
(8.50% decreasing to 4.71%)</t>
  </si>
  <si>
    <t>1% Decrease
(6.50% decreasing to 2.71%)</t>
  </si>
  <si>
    <t>Executive Summary Page.  Deferred Outflows and Inflows of Resources by Source to be Recognized in Future OPEB Expense. Must multiply the total by the Employers Proportion</t>
  </si>
  <si>
    <t>Section E of the Statement of Remaining Deferred Outflows and Inflows of Resources</t>
  </si>
  <si>
    <t>Section D of the Statement of Remaining Deferred Outflows and Inflows of Resources. Must multiply totals by the Employers Proportion</t>
  </si>
  <si>
    <t>Statement of Remaining Deferred Outflows and Inflows - Section E</t>
  </si>
  <si>
    <r>
      <t>The premium subsidies provided to retirees in the Tennessee Plan are assumed to remain unchanged for the entire projection, therefore trend rates are not applicable. (</t>
    </r>
    <r>
      <rPr>
        <sz val="10"/>
        <color rgb="FFFF0000"/>
        <rFont val="Times New Roman"/>
        <family val="1"/>
      </rPr>
      <t>ALTERNATE LANGUAGE FOR CERTAIN EMPLOYERS:  4.6% for 2018, decreasing annually to an ultimate rate of 3.53% for 2050 and later years)</t>
    </r>
  </si>
  <si>
    <t>1% Decrease
(3.60% decreasing to 2.53%)</t>
  </si>
  <si>
    <t>Healthcare Cost Trend Rates
(4.60% decreasing to 3.53%)</t>
  </si>
  <si>
    <t>1% Increase
(5.60% decreasing to 4.53%)</t>
  </si>
  <si>
    <r>
      <rPr>
        <b/>
        <i/>
        <sz val="10"/>
        <rFont val="Times New Roman"/>
        <family val="1"/>
      </rPr>
      <t>Sensitivity of proportionate share of the collective total OPEB liability to changes in the healthcare cost trend rate</t>
    </r>
    <r>
      <rPr>
        <sz val="10"/>
        <rFont val="Times New Roman"/>
        <family val="1"/>
      </rPr>
      <t xml:space="preserve"> - The following presents the proportionate share of the collective total OPEB liability related to the TGOP, as well as what the proportionate share of the collective total OPEB liability would be if it were calculated using a healthcare cost trend rate that is 1-percentage-point lower (6.50% decreasing to 2.71%) or 1-percentage-point higher (8.50% decreasing to 4.71%) than the current healthcare cost trend rate. (expressed in thousands)</t>
    </r>
  </si>
  <si>
    <r>
      <rPr>
        <b/>
        <i/>
        <sz val="10"/>
        <rFont val="Times New Roman"/>
        <family val="1"/>
      </rPr>
      <t>Sensitivity of proportionate share of the collective total OPEB liability to changes in the healthcare cost trend rate</t>
    </r>
    <r>
      <rPr>
        <sz val="10"/>
        <rFont val="Times New Roman"/>
        <family val="1"/>
      </rPr>
      <t xml:space="preserve"> - The following presents the proportionate share of the collective total OPEB liability related to the TNP, as well as what the proportionate share of the collective total OPEB liability would be if it were calculated using a healthcare cost trend rate that is 1-percentage-point lower (3.6% decreasing to 2.53%) or 1-percentage-point higher (5.6% decreasing to 4.53%) than the current healthcare cost trend rate. (expressed in thousands)</t>
    </r>
  </si>
</sst>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5" formatCode="&quot;$&quot;#,##0_);\(&quot;$&quot;#,##0\)"/>
    <numFmt numFmtId="44" formatCode="_(&quot;$&quot;* #,##0.00_);_(&quot;$&quot;* \(#,##0.00\);_(&quot;$&quot;* &quot;-&quot;??_);_(@_)"/>
    <numFmt numFmtId="43" formatCode="_(* #,##0.00_);_(* \(#,##0.00\);_(* &quot;-&quot;??_);_(@_)"/>
    <numFmt numFmtId="164" formatCode="_(&quot;$&quot;* #,##0_);_(&quot;$&quot;* \(#,##0\);_(&quot;$&quot;* &quot;-&quot;??_);_(@_)"/>
    <numFmt numFmtId="165" formatCode="_(* #,##0_);_(* \(#,##0\);_(* &quot;-&quot;??_);_(@_)"/>
    <numFmt numFmtId="166" formatCode="[$-409]mmmm\ d\,\ yyyy;@"/>
    <numFmt numFmtId="167" formatCode="General_)"/>
    <numFmt numFmtId="168" formatCode="#,##0.0"/>
    <numFmt numFmtId="169" formatCode="0.0000%"/>
    <numFmt numFmtId="170" formatCode="#,##0\ ;\(#,##0\);\-\ \ \ \ \ "/>
    <numFmt numFmtId="171" formatCode="#,##0\ ;\(#,##0\);\–\ \ \ \ \ "/>
    <numFmt numFmtId="172" formatCode="&quot;(&quot;m/d/yy&quot;)&quot;"/>
    <numFmt numFmtId="173" formatCode="mmmm\ d\,\ yyyy"/>
    <numFmt numFmtId="174" formatCode="_(* #,##0.00_);_(* \(#,##0.00\);_(* \-??_);_(@_)"/>
    <numFmt numFmtId="175" formatCode="#,##0\ \ \ ;[Red]\(#,##0\)\ \ ;\—\ \ \ \ "/>
    <numFmt numFmtId="176" formatCode="#,##0;\-#,##0"/>
    <numFmt numFmtId="177" formatCode="#,##0.0000000000;\-#,##0.0000000000"/>
    <numFmt numFmtId="178" formatCode="#,##0.0;\-#,##0.0"/>
    <numFmt numFmtId="179" formatCode="#,##0.00;\-#,##0.00"/>
    <numFmt numFmtId="180" formatCode="#,##0.000;\-#,##0.000"/>
    <numFmt numFmtId="181" formatCode="#,##0.0000;\-#,##0.0000"/>
    <numFmt numFmtId="182" formatCode="#,##0.00000;\-#,##0.00000"/>
    <numFmt numFmtId="183" formatCode="#,##0.000000;\-#,##0.000000"/>
    <numFmt numFmtId="184" formatCode="#,##0.0000000;\-#,##0.0000000"/>
    <numFmt numFmtId="185" formatCode="#,##0.00000000;\-#,##0.00000000"/>
    <numFmt numFmtId="186" formatCode="#,##0.000000000;\-#,##0.000000000"/>
    <numFmt numFmtId="187" formatCode="&quot;$&quot;\ \ \ #,##0.00_);[Red]\(&quot;$&quot;#,##0.00\)"/>
    <numFmt numFmtId="188" formatCode="\ \ \ #,##0.00_);[Red]\(#,##0.00\)"/>
    <numFmt numFmtId="189" formatCode="_(* #,##0.0_);_(* \(#,##0.0\);_(* &quot;-&quot;??_);_(@_)"/>
    <numFmt numFmtId="190" formatCode="_(&quot;$&quot;* #,##0.0_);_(&quot;$&quot;* \(#,##0.0\);_(&quot;$&quot;* &quot;-&quot;??_);_(@_)"/>
  </numFmts>
  <fonts count="88">
    <font>
      <sz val="11"/>
      <color theme="1"/>
      <name val="Calibri"/>
      <family val="2"/>
      <scheme val="minor"/>
    </font>
    <font>
      <sz val="11"/>
      <color theme="1"/>
      <name val="Calibri"/>
      <family val="2"/>
      <scheme val="minor"/>
    </font>
    <font>
      <b/>
      <sz val="11"/>
      <color theme="1"/>
      <name val="Calibri"/>
      <family val="2"/>
      <scheme val="minor"/>
    </font>
    <font>
      <sz val="10"/>
      <color theme="1"/>
      <name val="Times New Roman"/>
      <family val="1"/>
    </font>
    <font>
      <sz val="10"/>
      <name val="Times New Roman"/>
      <family val="1"/>
    </font>
    <font>
      <sz val="10"/>
      <name val="Arial"/>
      <family val="2"/>
    </font>
    <font>
      <sz val="11"/>
      <color indexed="8"/>
      <name val="Calibri"/>
      <family val="2"/>
      <scheme val="minor"/>
    </font>
    <font>
      <b/>
      <sz val="10"/>
      <name val="Arial Unicode MS"/>
      <family val="2"/>
    </font>
    <font>
      <sz val="10"/>
      <name val="MS Sans Serif"/>
      <family val="2"/>
    </font>
    <font>
      <sz val="10"/>
      <name val="Arial Unicode MS"/>
      <family val="2"/>
    </font>
    <font>
      <u/>
      <sz val="8"/>
      <color indexed="12"/>
      <name val="Times New Roman"/>
      <family val="1"/>
    </font>
    <font>
      <sz val="10"/>
      <color rgb="FF000000"/>
      <name val="Times New Roman"/>
      <family val="1"/>
    </font>
    <font>
      <sz val="8"/>
      <name val="Times New Roman"/>
      <family val="1"/>
    </font>
    <font>
      <sz val="11"/>
      <color rgb="FF000000"/>
      <name val="Calibri"/>
      <family val="2"/>
      <scheme val="minor"/>
    </font>
    <font>
      <sz val="8"/>
      <name val="Helv"/>
    </font>
    <font>
      <b/>
      <i/>
      <sz val="11"/>
      <color theme="1"/>
      <name val="Calibri"/>
      <family val="2"/>
      <scheme val="minor"/>
    </font>
    <font>
      <b/>
      <sz val="11"/>
      <name val="Calibri"/>
      <family val="2"/>
      <scheme val="minor"/>
    </font>
    <font>
      <b/>
      <sz val="10"/>
      <name val="Times New Roman"/>
      <family val="1"/>
    </font>
    <font>
      <b/>
      <i/>
      <sz val="10"/>
      <name val="Times New Roman"/>
      <family val="1"/>
    </font>
    <font>
      <sz val="11"/>
      <name val="Calibri"/>
      <family val="2"/>
      <scheme val="minor"/>
    </font>
    <font>
      <b/>
      <sz val="11"/>
      <name val="Times New Roman"/>
      <family val="1"/>
    </font>
    <font>
      <sz val="11"/>
      <name val="Times New Roman"/>
      <family val="1"/>
    </font>
    <font>
      <b/>
      <sz val="12"/>
      <name val="Times New Roman"/>
      <family val="1"/>
    </font>
    <font>
      <sz val="11"/>
      <color theme="0"/>
      <name val="Times New Roman"/>
      <family val="1"/>
    </font>
    <font>
      <b/>
      <sz val="11"/>
      <color theme="0"/>
      <name val="Times New Roman"/>
      <family val="1"/>
    </font>
    <font>
      <b/>
      <i/>
      <sz val="11"/>
      <name val="Calibri"/>
      <family val="2"/>
      <scheme val="minor"/>
    </font>
    <font>
      <b/>
      <i/>
      <sz val="11"/>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10"/>
      <color indexed="8"/>
      <name val="Arial"/>
      <family val="2"/>
    </font>
    <font>
      <sz val="8"/>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2"/>
      <name val="Courier New"/>
      <family val="3"/>
    </font>
    <font>
      <sz val="10"/>
      <color theme="1"/>
      <name val="Arial"/>
      <family val="2"/>
    </font>
    <font>
      <b/>
      <sz val="8"/>
      <color indexed="8"/>
      <name val="Arial"/>
      <family val="2"/>
    </font>
    <font>
      <sz val="10"/>
      <color indexed="9"/>
      <name val="Arial"/>
      <family val="2"/>
    </font>
    <font>
      <sz val="10"/>
      <color indexed="20"/>
      <name val="Arial"/>
      <family val="2"/>
    </font>
    <font>
      <b/>
      <sz val="10"/>
      <color indexed="52"/>
      <name val="Arial"/>
      <family val="2"/>
    </font>
    <font>
      <b/>
      <sz val="10"/>
      <color indexed="9"/>
      <name val="Arial"/>
      <family val="2"/>
    </font>
    <font>
      <sz val="10"/>
      <name val="AGaramond SemiboldItalic"/>
    </font>
    <font>
      <sz val="10"/>
      <name val="AGaramond"/>
    </font>
    <font>
      <i/>
      <sz val="10"/>
      <color indexed="23"/>
      <name val="Arial"/>
      <family val="2"/>
    </font>
    <font>
      <sz val="10"/>
      <color indexed="17"/>
      <name val="Arial"/>
      <family val="2"/>
    </font>
    <font>
      <b/>
      <sz val="12"/>
      <name val="Helv"/>
    </font>
    <font>
      <b/>
      <sz val="15"/>
      <color indexed="56"/>
      <name val="Arial"/>
      <family val="2"/>
    </font>
    <font>
      <b/>
      <sz val="13"/>
      <color indexed="56"/>
      <name val="Arial"/>
      <family val="2"/>
    </font>
    <font>
      <b/>
      <sz val="11"/>
      <color indexed="56"/>
      <name val="Arial"/>
      <family val="2"/>
    </font>
    <font>
      <u/>
      <sz val="10"/>
      <color theme="10"/>
      <name val="Arial"/>
      <family val="2"/>
    </font>
    <font>
      <sz val="10"/>
      <color indexed="62"/>
      <name val="Arial"/>
      <family val="2"/>
    </font>
    <font>
      <sz val="10"/>
      <color indexed="52"/>
      <name val="Arial"/>
      <family val="2"/>
    </font>
    <font>
      <sz val="10"/>
      <color indexed="60"/>
      <name val="Arial"/>
      <family val="2"/>
    </font>
    <font>
      <sz val="7"/>
      <name val="Small Fonts"/>
      <family val="2"/>
    </font>
    <font>
      <sz val="12"/>
      <name val="Arial MT"/>
    </font>
    <font>
      <b/>
      <sz val="10"/>
      <color indexed="63"/>
      <name val="Arial"/>
      <family val="2"/>
    </font>
    <font>
      <b/>
      <sz val="10"/>
      <color indexed="8"/>
      <name val="Arial"/>
      <family val="2"/>
    </font>
    <font>
      <sz val="10"/>
      <name val="Palatino"/>
      <family val="1"/>
    </font>
    <font>
      <sz val="10"/>
      <color indexed="10"/>
      <name val="Arial"/>
      <family val="2"/>
    </font>
    <font>
      <i/>
      <sz val="11"/>
      <name val="Calibri"/>
      <family val="2"/>
      <scheme val="minor"/>
    </font>
    <font>
      <sz val="10"/>
      <color rgb="FFFF0000"/>
      <name val="Times New Roman"/>
      <family val="1"/>
    </font>
  </fonts>
  <fills count="64">
    <fill>
      <patternFill patternType="none"/>
    </fill>
    <fill>
      <patternFill patternType="gray125"/>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rgb="FF00B050"/>
        <bgColor indexed="64"/>
      </patternFill>
    </fill>
    <fill>
      <patternFill patternType="solid">
        <fgColor theme="3" tint="0.39997558519241921"/>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2" tint="-9.9978637043366805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39997558519241921"/>
        <bgColor indexed="65"/>
      </patternFill>
    </fill>
    <fill>
      <patternFill patternType="solid">
        <fgColor theme="5"/>
      </patternFill>
    </fill>
    <fill>
      <patternFill patternType="solid">
        <fgColor theme="5" tint="0.39997558519241921"/>
        <bgColor indexed="65"/>
      </patternFill>
    </fill>
    <fill>
      <patternFill patternType="solid">
        <fgColor theme="6"/>
      </patternFill>
    </fill>
    <fill>
      <patternFill patternType="solid">
        <fgColor theme="6" tint="0.39997558519241921"/>
        <bgColor indexed="65"/>
      </patternFill>
    </fill>
    <fill>
      <patternFill patternType="solid">
        <fgColor theme="7"/>
      </patternFill>
    </fill>
    <fill>
      <patternFill patternType="solid">
        <fgColor theme="7" tint="0.39997558519241921"/>
        <bgColor indexed="65"/>
      </patternFill>
    </fill>
    <fill>
      <patternFill patternType="solid">
        <fgColor theme="8"/>
      </patternFill>
    </fill>
    <fill>
      <patternFill patternType="solid">
        <fgColor theme="8" tint="0.39997558519241921"/>
        <bgColor indexed="65"/>
      </patternFill>
    </fill>
    <fill>
      <patternFill patternType="solid">
        <fgColor theme="9"/>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22"/>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17"/>
        <bgColor indexed="64"/>
      </patternFill>
    </fill>
    <fill>
      <patternFill patternType="solid">
        <fgColor theme="4" tint="0.39997558519241921"/>
        <bgColor indexed="64"/>
      </patternFill>
    </fill>
    <fill>
      <patternFill patternType="solid">
        <fgColor theme="8" tint="0.79998168889431442"/>
        <bgColor indexed="64"/>
      </patternFill>
    </fill>
    <fill>
      <patternFill patternType="solid">
        <fgColor theme="8" tint="0.59999389629810485"/>
        <bgColor indexed="64"/>
      </patternFill>
    </fill>
  </fills>
  <borders count="45">
    <border>
      <left/>
      <right/>
      <top/>
      <bottom/>
      <diagonal/>
    </border>
    <border>
      <left style="thin">
        <color rgb="FFB2B2B2"/>
      </left>
      <right style="thin">
        <color rgb="FFB2B2B2"/>
      </right>
      <top style="thin">
        <color rgb="FFB2B2B2"/>
      </top>
      <bottom style="thin">
        <color rgb="FFB2B2B2"/>
      </bottom>
      <diagonal/>
    </border>
    <border>
      <left/>
      <right/>
      <top/>
      <bottom style="thin">
        <color indexed="64"/>
      </bottom>
      <diagonal/>
    </border>
    <border>
      <left/>
      <right/>
      <top style="thin">
        <color indexed="64"/>
      </top>
      <bottom style="double">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top style="thin">
        <color indexed="64"/>
      </top>
      <bottom/>
      <diagonal/>
    </border>
    <border>
      <left style="thin">
        <color indexed="64"/>
      </left>
      <right/>
      <top/>
      <bottom/>
      <diagonal/>
    </border>
    <border>
      <left style="thin">
        <color indexed="64"/>
      </left>
      <right/>
      <top style="thin">
        <color indexed="64"/>
      </top>
      <bottom/>
      <diagonal/>
    </border>
    <border>
      <left/>
      <right style="thin">
        <color indexed="64"/>
      </right>
      <top/>
      <bottom/>
      <diagonal/>
    </border>
    <border>
      <left style="thin">
        <color indexed="64"/>
      </left>
      <right/>
      <top/>
      <bottom style="thin">
        <color indexed="64"/>
      </bottom>
      <diagonal/>
    </border>
    <border>
      <left style="medium">
        <color indexed="64"/>
      </left>
      <right style="thin">
        <color indexed="64"/>
      </right>
      <top style="medium">
        <color indexed="64"/>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style="medium">
        <color indexed="23"/>
      </top>
      <bottom style="medium">
        <color indexed="23"/>
      </bottom>
      <diagonal/>
    </border>
  </borders>
  <cellStyleXfs count="1796">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6"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1"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7"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0" fontId="8"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7" fillId="0" borderId="0" applyFont="0" applyFill="0" applyBorder="0" applyAlignment="0" applyProtection="0"/>
    <xf numFmtId="43" fontId="5" fillId="0" borderId="0" applyFont="0" applyFill="0" applyBorder="0" applyAlignment="0" applyProtection="0"/>
    <xf numFmtId="43" fontId="6" fillId="0" borderId="0" applyFont="0" applyFill="0" applyBorder="0" applyAlignment="0" applyProtection="0"/>
    <xf numFmtId="43" fontId="5" fillId="0" borderId="0" applyFont="0" applyFill="0" applyBorder="0" applyAlignment="0" applyProtection="0"/>
    <xf numFmtId="43" fontId="7"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5" fillId="0" borderId="0" applyFont="0" applyFill="0" applyBorder="0" applyAlignment="0" applyProtection="0"/>
    <xf numFmtId="43" fontId="1" fillId="0" borderId="0" applyFont="0" applyFill="0" applyBorder="0" applyAlignment="0" applyProtection="0"/>
    <xf numFmtId="43" fontId="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1"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6"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44" fontId="4"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44" fontId="1"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166" fontId="10" fillId="0" borderId="0" applyNumberFormat="0" applyFill="0" applyBorder="0" applyAlignment="0" applyProtection="0">
      <alignment vertical="top"/>
      <protection locked="0"/>
    </xf>
    <xf numFmtId="166" fontId="10" fillId="0" borderId="0" applyNumberFormat="0" applyFill="0" applyBorder="0" applyAlignment="0" applyProtection="0">
      <alignment vertical="top"/>
      <protection locked="0"/>
    </xf>
    <xf numFmtId="166" fontId="10" fillId="0" borderId="0" applyNumberFormat="0" applyFill="0" applyBorder="0" applyAlignment="0" applyProtection="0">
      <alignment vertical="top"/>
      <protection locked="0"/>
    </xf>
    <xf numFmtId="0" fontId="6" fillId="0" borderId="0"/>
    <xf numFmtId="0" fontId="5" fillId="0" borderId="0"/>
    <xf numFmtId="0" fontId="5" fillId="0" borderId="0"/>
    <xf numFmtId="0" fontId="6" fillId="0" borderId="0"/>
    <xf numFmtId="0" fontId="5" fillId="0" borderId="0"/>
    <xf numFmtId="0" fontId="5" fillId="0" borderId="0"/>
    <xf numFmtId="0" fontId="5" fillId="0" borderId="0"/>
    <xf numFmtId="0" fontId="5" fillId="0" borderId="0"/>
    <xf numFmtId="0" fontId="1" fillId="0" borderId="0"/>
    <xf numFmtId="0" fontId="4" fillId="0" borderId="0"/>
    <xf numFmtId="0" fontId="4" fillId="0" borderId="0"/>
    <xf numFmtId="0" fontId="4" fillId="0" borderId="0"/>
    <xf numFmtId="0" fontId="4"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9" fillId="0" borderId="0"/>
    <xf numFmtId="0" fontId="5" fillId="0" borderId="0"/>
    <xf numFmtId="0" fontId="11" fillId="0" borderId="0"/>
    <xf numFmtId="0" fontId="9" fillId="0" borderId="0"/>
    <xf numFmtId="0" fontId="9" fillId="0" borderId="0"/>
    <xf numFmtId="0" fontId="9" fillId="0" borderId="0"/>
    <xf numFmtId="0" fontId="9" fillId="0" borderId="0"/>
    <xf numFmtId="0" fontId="6" fillId="0" borderId="0"/>
    <xf numFmtId="0" fontId="5" fillId="0" borderId="0"/>
    <xf numFmtId="0" fontId="9" fillId="0" borderId="0"/>
    <xf numFmtId="0" fontId="5" fillId="0" borderId="0"/>
    <xf numFmtId="0" fontId="5" fillId="0" borderId="0"/>
    <xf numFmtId="0" fontId="9" fillId="0" borderId="0"/>
    <xf numFmtId="0" fontId="5" fillId="0" borderId="0"/>
    <xf numFmtId="0" fontId="6" fillId="0" borderId="0"/>
    <xf numFmtId="39" fontId="1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xf numFmtId="0" fontId="9" fillId="0" borderId="0"/>
    <xf numFmtId="0" fontId="9" fillId="0" borderId="0"/>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0" fontId="5" fillId="0" borderId="0"/>
    <xf numFmtId="0" fontId="1" fillId="0" borderId="0"/>
    <xf numFmtId="0" fontId="1" fillId="0" borderId="0"/>
    <xf numFmtId="0" fontId="1" fillId="0" borderId="0"/>
    <xf numFmtId="0" fontId="5" fillId="0" borderId="0"/>
    <xf numFmtId="0" fontId="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0" fontId="1" fillId="0" borderId="0"/>
    <xf numFmtId="0" fontId="1" fillId="0" borderId="0"/>
    <xf numFmtId="0" fontId="1" fillId="0" borderId="0"/>
    <xf numFmtId="0" fontId="1" fillId="0" borderId="0"/>
    <xf numFmtId="0" fontId="5" fillId="0" borderId="0"/>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0" fontId="9" fillId="0" borderId="0"/>
    <xf numFmtId="0" fontId="9" fillId="0" borderId="0"/>
    <xf numFmtId="0" fontId="1" fillId="0" borderId="0"/>
    <xf numFmtId="0" fontId="1" fillId="0" borderId="0"/>
    <xf numFmtId="0" fontId="1" fillId="0" borderId="0"/>
    <xf numFmtId="0" fontId="1" fillId="0" borderId="0"/>
    <xf numFmtId="0" fontId="5" fillId="0" borderId="0"/>
    <xf numFmtId="0" fontId="6" fillId="0" borderId="0"/>
    <xf numFmtId="39" fontId="12" fillId="0" borderId="0"/>
    <xf numFmtId="0" fontId="5" fillId="0" borderId="0"/>
    <xf numFmtId="0" fontId="5" fillId="0" borderId="0"/>
    <xf numFmtId="0" fontId="5" fillId="0" borderId="0"/>
    <xf numFmtId="39" fontId="12" fillId="0" borderId="0"/>
    <xf numFmtId="0" fontId="9" fillId="0" borderId="0"/>
    <xf numFmtId="0" fontId="5" fillId="0" borderId="0"/>
    <xf numFmtId="0" fontId="13" fillId="0" borderId="0"/>
    <xf numFmtId="0" fontId="9" fillId="0" borderId="0"/>
    <xf numFmtId="0" fontId="1" fillId="0" borderId="0"/>
    <xf numFmtId="167" fontId="14" fillId="0" borderId="0"/>
    <xf numFmtId="39" fontId="12" fillId="0" borderId="0"/>
    <xf numFmtId="0" fontId="5" fillId="0" borderId="0"/>
    <xf numFmtId="0" fontId="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0" fontId="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0" fontId="5" fillId="0" borderId="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9" fontId="6"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9" fontId="7"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7"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7"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7"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6"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0" fontId="5" fillId="0" borderId="0"/>
    <xf numFmtId="0" fontId="27" fillId="0" borderId="0" applyNumberFormat="0" applyFill="0" applyBorder="0" applyAlignment="0" applyProtection="0"/>
    <xf numFmtId="0" fontId="28" fillId="0" borderId="27" applyNumberFormat="0" applyFill="0" applyAlignment="0" applyProtection="0"/>
    <xf numFmtId="0" fontId="29" fillId="0" borderId="28" applyNumberFormat="0" applyFill="0" applyAlignment="0" applyProtection="0"/>
    <xf numFmtId="0" fontId="30" fillId="0" borderId="29" applyNumberFormat="0" applyFill="0" applyAlignment="0" applyProtection="0"/>
    <xf numFmtId="0" fontId="30" fillId="0" borderId="0" applyNumberFormat="0" applyFill="0" applyBorder="0" applyAlignment="0" applyProtection="0"/>
    <xf numFmtId="0" fontId="31" fillId="20" borderId="0" applyNumberFormat="0" applyBorder="0" applyAlignment="0" applyProtection="0"/>
    <xf numFmtId="0" fontId="32" fillId="21" borderId="0" applyNumberFormat="0" applyBorder="0" applyAlignment="0" applyProtection="0"/>
    <xf numFmtId="0" fontId="33" fillId="22" borderId="0" applyNumberFormat="0" applyBorder="0" applyAlignment="0" applyProtection="0"/>
    <xf numFmtId="0" fontId="34" fillId="23" borderId="30" applyNumberFormat="0" applyAlignment="0" applyProtection="0"/>
    <xf numFmtId="0" fontId="35" fillId="24" borderId="31" applyNumberFormat="0" applyAlignment="0" applyProtection="0"/>
    <xf numFmtId="0" fontId="36" fillId="24" borderId="30" applyNumberFormat="0" applyAlignment="0" applyProtection="0"/>
    <xf numFmtId="0" fontId="37" fillId="0" borderId="32" applyNumberFormat="0" applyFill="0" applyAlignment="0" applyProtection="0"/>
    <xf numFmtId="0" fontId="38" fillId="25" borderId="33" applyNumberFormat="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2" fillId="0" borderId="34" applyNumberFormat="0" applyFill="0" applyAlignment="0" applyProtection="0"/>
    <xf numFmtId="0" fontId="41" fillId="26"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41" fillId="27" borderId="0" applyNumberFormat="0" applyBorder="0" applyAlignment="0" applyProtection="0"/>
    <xf numFmtId="0" fontId="41" fillId="28"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41" fillId="29" borderId="0" applyNumberFormat="0" applyBorder="0" applyAlignment="0" applyProtection="0"/>
    <xf numFmtId="0" fontId="41" fillId="30"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41" fillId="31" borderId="0" applyNumberFormat="0" applyBorder="0" applyAlignment="0" applyProtection="0"/>
    <xf numFmtId="0" fontId="41" fillId="32"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41" fillId="33" borderId="0" applyNumberFormat="0" applyBorder="0" applyAlignment="0" applyProtection="0"/>
    <xf numFmtId="0" fontId="41" fillId="34"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41" fillId="35" borderId="0" applyNumberFormat="0" applyBorder="0" applyAlignment="0" applyProtection="0"/>
    <xf numFmtId="0" fontId="41" fillId="36"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41" fillId="37" borderId="0" applyNumberFormat="0" applyBorder="0" applyAlignment="0" applyProtection="0"/>
    <xf numFmtId="0" fontId="5" fillId="0" borderId="0"/>
    <xf numFmtId="0" fontId="30" fillId="0" borderId="0" applyNumberFormat="0" applyFill="0" applyBorder="0" applyAlignment="0" applyProtection="0"/>
    <xf numFmtId="0" fontId="38" fillId="25" borderId="33" applyNumberFormat="0" applyAlignment="0" applyProtection="0"/>
    <xf numFmtId="44" fontId="5" fillId="0" borderId="0" applyFont="0" applyFill="0" applyBorder="0" applyAlignment="0" applyProtection="0"/>
    <xf numFmtId="0" fontId="31" fillId="20" borderId="0" applyNumberFormat="0" applyBorder="0" applyAlignment="0" applyProtection="0"/>
    <xf numFmtId="0" fontId="44" fillId="42" borderId="0" applyNumberFormat="0" applyBorder="0" applyAlignment="0" applyProtection="0"/>
    <xf numFmtId="0" fontId="44" fillId="43" borderId="0" applyNumberFormat="0" applyBorder="0" applyAlignment="0" applyProtection="0"/>
    <xf numFmtId="0" fontId="27" fillId="0" borderId="0" applyNumberFormat="0" applyFill="0" applyBorder="0" applyAlignment="0" applyProtection="0"/>
    <xf numFmtId="43" fontId="1" fillId="0" borderId="0" applyFont="0" applyFill="0" applyBorder="0" applyAlignment="0" applyProtection="0"/>
    <xf numFmtId="43" fontId="5" fillId="0" borderId="0" applyFont="0" applyFill="0" applyBorder="0" applyAlignment="0" applyProtection="0"/>
    <xf numFmtId="0" fontId="39" fillId="0" borderId="0" applyNumberFormat="0" applyFill="0" applyBorder="0" applyAlignment="0" applyProtection="0"/>
    <xf numFmtId="0" fontId="37" fillId="0" borderId="32" applyNumberFormat="0" applyFill="0" applyAlignment="0" applyProtection="0"/>
    <xf numFmtId="43" fontId="11" fillId="0" borderId="0" applyFont="0" applyFill="0" applyBorder="0" applyAlignment="0" applyProtection="0"/>
    <xf numFmtId="43" fontId="1" fillId="0" borderId="0" applyFont="0" applyFill="0" applyBorder="0" applyAlignment="0" applyProtection="0"/>
    <xf numFmtId="0" fontId="44" fillId="44" borderId="0" applyNumberFormat="0" applyBorder="0" applyAlignment="0" applyProtection="0"/>
    <xf numFmtId="0" fontId="28" fillId="0" borderId="27" applyNumberFormat="0" applyFill="0" applyAlignment="0" applyProtection="0"/>
    <xf numFmtId="0" fontId="41" fillId="36" borderId="0" applyNumberFormat="0" applyBorder="0" applyAlignment="0" applyProtection="0"/>
    <xf numFmtId="0" fontId="45" fillId="50" borderId="0" applyNumberFormat="0" applyBorder="0" applyAlignment="0" applyProtection="0"/>
    <xf numFmtId="0" fontId="36" fillId="24" borderId="30" applyNumberFormat="0" applyAlignment="0" applyProtection="0"/>
    <xf numFmtId="0" fontId="44" fillId="45" borderId="0" applyNumberFormat="0" applyBorder="0" applyAlignment="0" applyProtection="0"/>
    <xf numFmtId="0" fontId="43" fillId="0" borderId="0"/>
    <xf numFmtId="0" fontId="45" fillId="51" borderId="0" applyNumberFormat="0" applyBorder="0" applyAlignment="0" applyProtection="0"/>
    <xf numFmtId="43" fontId="1" fillId="0" borderId="0" applyFont="0" applyFill="0" applyBorder="0" applyAlignment="0" applyProtection="0"/>
    <xf numFmtId="0" fontId="44" fillId="47" borderId="0" applyNumberFormat="0" applyBorder="0" applyAlignment="0" applyProtection="0"/>
    <xf numFmtId="0" fontId="48" fillId="57" borderId="36" applyNumberFormat="0" applyAlignment="0" applyProtection="0"/>
    <xf numFmtId="0" fontId="44" fillId="46" borderId="0" applyNumberFormat="0" applyBorder="0" applyAlignment="0" applyProtection="0"/>
    <xf numFmtId="43" fontId="5" fillId="0" borderId="0" applyFont="0" applyFill="0" applyBorder="0" applyAlignment="0" applyProtection="0"/>
    <xf numFmtId="0" fontId="52" fillId="0" borderId="38" applyNumberFormat="0" applyFill="0" applyAlignment="0" applyProtection="0"/>
    <xf numFmtId="0" fontId="35" fillId="24" borderId="31" applyNumberFormat="0" applyAlignment="0" applyProtection="0"/>
    <xf numFmtId="43" fontId="5" fillId="0" borderId="0" applyFont="0" applyFill="0" applyBorder="0" applyAlignment="0" applyProtection="0"/>
    <xf numFmtId="0" fontId="57" fillId="44" borderId="42" applyNumberFormat="0" applyAlignment="0" applyProtection="0"/>
    <xf numFmtId="0" fontId="1" fillId="0" borderId="0"/>
    <xf numFmtId="0" fontId="41" fillId="28" borderId="0" applyNumberFormat="0" applyBorder="0" applyAlignment="0" applyProtection="0"/>
    <xf numFmtId="0" fontId="2" fillId="0" borderId="34" applyNumberFormat="0" applyFill="0" applyAlignment="0" applyProtection="0"/>
    <xf numFmtId="0" fontId="44" fillId="45" borderId="0" applyNumberFormat="0" applyBorder="0" applyAlignment="0" applyProtection="0"/>
    <xf numFmtId="0" fontId="30" fillId="0" borderId="29" applyNumberFormat="0" applyFill="0" applyAlignment="0" applyProtection="0"/>
    <xf numFmtId="0" fontId="45" fillId="55" borderId="0" applyNumberFormat="0" applyBorder="0" applyAlignment="0" applyProtection="0"/>
    <xf numFmtId="0" fontId="62" fillId="0" borderId="0"/>
    <xf numFmtId="49" fontId="63" fillId="60" borderId="44">
      <alignment horizontal="center" vertical="center"/>
    </xf>
    <xf numFmtId="0" fontId="5" fillId="59" borderId="41" applyNumberFormat="0" applyFont="0" applyAlignment="0" applyProtection="0"/>
    <xf numFmtId="0" fontId="41" fillId="37" borderId="0" applyNumberFormat="0" applyBorder="0" applyAlignment="0" applyProtection="0"/>
    <xf numFmtId="0" fontId="45" fillId="51" borderId="0" applyNumberFormat="0" applyBorder="0" applyAlignment="0" applyProtection="0"/>
    <xf numFmtId="0" fontId="11" fillId="0" borderId="0"/>
    <xf numFmtId="0" fontId="45" fillId="56" borderId="0" applyNumberFormat="0" applyBorder="0" applyAlignment="0" applyProtection="0"/>
    <xf numFmtId="0" fontId="33" fillId="22" borderId="0" applyNumberFormat="0" applyBorder="0" applyAlignment="0" applyProtection="0"/>
    <xf numFmtId="9" fontId="5" fillId="0" borderId="0" applyFont="0" applyFill="0" applyBorder="0" applyAlignment="0" applyProtection="0"/>
    <xf numFmtId="0" fontId="29" fillId="0" borderId="28" applyNumberFormat="0" applyFill="0" applyAlignment="0" applyProtection="0"/>
    <xf numFmtId="0" fontId="61" fillId="0" borderId="0"/>
    <xf numFmtId="0" fontId="44" fillId="41" borderId="0" applyNumberFormat="0" applyBorder="0" applyAlignment="0" applyProtection="0"/>
    <xf numFmtId="0" fontId="54" fillId="43" borderId="35" applyNumberFormat="0" applyAlignment="0" applyProtection="0"/>
    <xf numFmtId="0" fontId="58" fillId="0" borderId="0" applyNumberFormat="0" applyFill="0" applyBorder="0" applyAlignment="0" applyProtection="0"/>
    <xf numFmtId="43" fontId="5" fillId="0" borderId="0" applyFont="0" applyFill="0" applyBorder="0" applyAlignment="0" applyProtection="0"/>
    <xf numFmtId="0" fontId="45" fillId="49" borderId="0" applyNumberFormat="0" applyBorder="0" applyAlignment="0" applyProtection="0"/>
    <xf numFmtId="0" fontId="41" fillId="31" borderId="0" applyNumberFormat="0" applyBorder="0" applyAlignment="0" applyProtection="0"/>
    <xf numFmtId="9" fontId="5" fillId="0" borderId="0" applyFont="0" applyFill="0" applyBorder="0" applyAlignment="0" applyProtection="0"/>
    <xf numFmtId="0" fontId="40" fillId="0" borderId="0" applyNumberForma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0" fontId="55" fillId="0" borderId="40" applyNumberFormat="0" applyFill="0" applyAlignment="0" applyProtection="0"/>
    <xf numFmtId="0" fontId="41" fillId="27" borderId="0" applyNumberFormat="0" applyBorder="0" applyAlignment="0" applyProtection="0"/>
    <xf numFmtId="0" fontId="45" fillId="52" borderId="0" applyNumberFormat="0" applyBorder="0" applyAlignment="0" applyProtection="0"/>
    <xf numFmtId="0" fontId="45" fillId="46" borderId="0" applyNumberFormat="0" applyBorder="0" applyAlignment="0" applyProtection="0"/>
    <xf numFmtId="0" fontId="41" fillId="26" borderId="0" applyNumberFormat="0" applyBorder="0" applyAlignment="0" applyProtection="0"/>
    <xf numFmtId="0" fontId="45" fillId="53" borderId="0" applyNumberFormat="0" applyBorder="0" applyAlignment="0" applyProtection="0"/>
    <xf numFmtId="0" fontId="41" fillId="33" borderId="0" applyNumberFormat="0" applyBorder="0" applyAlignment="0" applyProtection="0"/>
    <xf numFmtId="0" fontId="47" fillId="44" borderId="35" applyNumberFormat="0" applyAlignment="0" applyProtection="0"/>
    <xf numFmtId="0" fontId="5" fillId="0" borderId="0"/>
    <xf numFmtId="0" fontId="53" fillId="0" borderId="0" applyNumberFormat="0" applyFill="0" applyBorder="0" applyAlignment="0" applyProtection="0"/>
    <xf numFmtId="0" fontId="9" fillId="0" borderId="0"/>
    <xf numFmtId="0" fontId="44" fillId="40" borderId="0" applyNumberFormat="0" applyBorder="0" applyAlignment="0" applyProtection="0"/>
    <xf numFmtId="0" fontId="34" fillId="23" borderId="30" applyNumberFormat="0" applyAlignment="0" applyProtection="0"/>
    <xf numFmtId="0" fontId="41" fillId="29" borderId="0" applyNumberFormat="0" applyBorder="0" applyAlignment="0" applyProtection="0"/>
    <xf numFmtId="0" fontId="50" fillId="40" borderId="0" applyNumberFormat="0" applyBorder="0" applyAlignment="0" applyProtection="0"/>
    <xf numFmtId="0" fontId="41" fillId="35" borderId="0" applyNumberFormat="0" applyBorder="0" applyAlignment="0" applyProtection="0"/>
    <xf numFmtId="0" fontId="51" fillId="0" borderId="37" applyNumberFormat="0" applyFill="0" applyAlignment="0" applyProtection="0"/>
    <xf numFmtId="0" fontId="56" fillId="58" borderId="0" applyNumberFormat="0" applyBorder="0" applyAlignment="0" applyProtection="0"/>
    <xf numFmtId="43" fontId="4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49" fillId="0" borderId="0" applyNumberFormat="0" applyFill="0" applyBorder="0" applyAlignment="0" applyProtection="0"/>
    <xf numFmtId="0" fontId="44" fillId="38" borderId="0" applyNumberFormat="0" applyBorder="0" applyAlignment="0" applyProtection="0"/>
    <xf numFmtId="0" fontId="44" fillId="39" borderId="0" applyNumberFormat="0" applyBorder="0" applyAlignment="0" applyProtection="0"/>
    <xf numFmtId="0" fontId="41" fillId="32" borderId="0" applyNumberFormat="0" applyBorder="0" applyAlignment="0" applyProtection="0"/>
    <xf numFmtId="0" fontId="54" fillId="44" borderId="35" applyNumberFormat="0" applyAlignment="0" applyProtection="0"/>
    <xf numFmtId="0" fontId="44" fillId="48" borderId="0" applyNumberFormat="0" applyBorder="0" applyAlignment="0" applyProtection="0"/>
    <xf numFmtId="0" fontId="59" fillId="0" borderId="43" applyNumberFormat="0" applyFill="0" applyAlignment="0" applyProtection="0"/>
    <xf numFmtId="0" fontId="32" fillId="21" borderId="0" applyNumberFormat="0" applyBorder="0" applyAlignment="0" applyProtection="0"/>
    <xf numFmtId="9" fontId="5" fillId="0" borderId="0" applyFont="0" applyFill="0" applyBorder="0" applyAlignment="0" applyProtection="0"/>
    <xf numFmtId="0" fontId="60" fillId="0" borderId="0" applyNumberFormat="0" applyFill="0" applyBorder="0" applyAlignment="0" applyProtection="0"/>
    <xf numFmtId="0" fontId="41" fillId="34" borderId="0" applyNumberFormat="0" applyBorder="0" applyAlignment="0" applyProtection="0"/>
    <xf numFmtId="0" fontId="41" fillId="30" borderId="0" applyNumberFormat="0" applyBorder="0" applyAlignment="0" applyProtection="0"/>
    <xf numFmtId="0" fontId="5" fillId="59" borderId="41" applyNumberFormat="0" applyFont="0" applyAlignment="0" applyProtection="0"/>
    <xf numFmtId="43" fontId="62" fillId="0" borderId="0" applyFont="0" applyFill="0" applyBorder="0" applyAlignment="0" applyProtection="0"/>
    <xf numFmtId="0" fontId="1" fillId="0" borderId="0"/>
    <xf numFmtId="0" fontId="5" fillId="59" borderId="41" applyNumberFormat="0" applyFont="0" applyAlignment="0" applyProtection="0"/>
    <xf numFmtId="0" fontId="45" fillId="47" borderId="0" applyNumberFormat="0" applyBorder="0" applyAlignment="0" applyProtection="0"/>
    <xf numFmtId="0" fontId="45" fillId="50" borderId="0" applyNumberFormat="0" applyBorder="0" applyAlignment="0" applyProtection="0"/>
    <xf numFmtId="0" fontId="45" fillId="54" borderId="0" applyNumberFormat="0" applyBorder="0" applyAlignment="0" applyProtection="0"/>
    <xf numFmtId="0" fontId="46" fillId="39" borderId="0" applyNumberFormat="0" applyBorder="0" applyAlignment="0" applyProtection="0"/>
    <xf numFmtId="0" fontId="53" fillId="0" borderId="39" applyNumberFormat="0" applyFill="0" applyAlignment="0" applyProtection="0"/>
    <xf numFmtId="0" fontId="44" fillId="41" borderId="0" applyNumberFormat="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5" fillId="0" borderId="0"/>
    <xf numFmtId="0" fontId="5" fillId="0" borderId="0"/>
    <xf numFmtId="43" fontId="6" fillId="0" borderId="0" applyFont="0" applyFill="0" applyBorder="0" applyAlignment="0" applyProtection="0"/>
    <xf numFmtId="0" fontId="6" fillId="0" borderId="0"/>
    <xf numFmtId="0" fontId="4" fillId="0" borderId="0"/>
    <xf numFmtId="0" fontId="42" fillId="38" borderId="0" applyNumberFormat="0" applyBorder="0" applyAlignment="0" applyProtection="0"/>
    <xf numFmtId="0" fontId="42" fillId="39" borderId="0" applyNumberFormat="0" applyBorder="0" applyAlignment="0" applyProtection="0"/>
    <xf numFmtId="0" fontId="42" fillId="40" borderId="0" applyNumberFormat="0" applyBorder="0" applyAlignment="0" applyProtection="0"/>
    <xf numFmtId="0" fontId="42" fillId="41" borderId="0" applyNumberFormat="0" applyBorder="0" applyAlignment="0" applyProtection="0"/>
    <xf numFmtId="0" fontId="42" fillId="42" borderId="0" applyNumberFormat="0" applyBorder="0" applyAlignment="0" applyProtection="0"/>
    <xf numFmtId="0" fontId="42" fillId="43" borderId="0" applyNumberFormat="0" applyBorder="0" applyAlignment="0" applyProtection="0"/>
    <xf numFmtId="0" fontId="42" fillId="45" borderId="0" applyNumberFormat="0" applyBorder="0" applyAlignment="0" applyProtection="0"/>
    <xf numFmtId="0" fontId="42" fillId="46" borderId="0" applyNumberFormat="0" applyBorder="0" applyAlignment="0" applyProtection="0"/>
    <xf numFmtId="0" fontId="42" fillId="47" borderId="0" applyNumberFormat="0" applyBorder="0" applyAlignment="0" applyProtection="0"/>
    <xf numFmtId="0" fontId="42" fillId="41" borderId="0" applyNumberFormat="0" applyBorder="0" applyAlignment="0" applyProtection="0"/>
    <xf numFmtId="0" fontId="42" fillId="45" borderId="0" applyNumberFormat="0" applyBorder="0" applyAlignment="0" applyProtection="0"/>
    <xf numFmtId="0" fontId="42" fillId="48" borderId="0" applyNumberFormat="0" applyBorder="0" applyAlignment="0" applyProtection="0"/>
    <xf numFmtId="0" fontId="64" fillId="49" borderId="0" applyNumberFormat="0" applyBorder="0" applyAlignment="0" applyProtection="0"/>
    <xf numFmtId="0" fontId="64" fillId="46" borderId="0" applyNumberFormat="0" applyBorder="0" applyAlignment="0" applyProtection="0"/>
    <xf numFmtId="0" fontId="64" fillId="47" borderId="0" applyNumberFormat="0" applyBorder="0" applyAlignment="0" applyProtection="0"/>
    <xf numFmtId="0" fontId="64" fillId="50" borderId="0" applyNumberFormat="0" applyBorder="0" applyAlignment="0" applyProtection="0"/>
    <xf numFmtId="0" fontId="64" fillId="51" borderId="0" applyNumberFormat="0" applyBorder="0" applyAlignment="0" applyProtection="0"/>
    <xf numFmtId="0" fontId="64" fillId="52" borderId="0" applyNumberFormat="0" applyBorder="0" applyAlignment="0" applyProtection="0"/>
    <xf numFmtId="0" fontId="64" fillId="53" borderId="0" applyNumberFormat="0" applyBorder="0" applyAlignment="0" applyProtection="0"/>
    <xf numFmtId="0" fontId="64" fillId="54" borderId="0" applyNumberFormat="0" applyBorder="0" applyAlignment="0" applyProtection="0"/>
    <xf numFmtId="0" fontId="64" fillId="55" borderId="0" applyNumberFormat="0" applyBorder="0" applyAlignment="0" applyProtection="0"/>
    <xf numFmtId="0" fontId="64" fillId="50" borderId="0" applyNumberFormat="0" applyBorder="0" applyAlignment="0" applyProtection="0"/>
    <xf numFmtId="0" fontId="64" fillId="51" borderId="0" applyNumberFormat="0" applyBorder="0" applyAlignment="0" applyProtection="0"/>
    <xf numFmtId="0" fontId="64" fillId="56" borderId="0" applyNumberFormat="0" applyBorder="0" applyAlignment="0" applyProtection="0"/>
    <xf numFmtId="0" fontId="5" fillId="0" borderId="0"/>
    <xf numFmtId="0" fontId="65" fillId="39" borderId="0" applyNumberFormat="0" applyBorder="0" applyAlignment="0" applyProtection="0"/>
    <xf numFmtId="170" fontId="21" fillId="0" borderId="11" applyNumberFormat="0" applyFill="0" applyAlignment="0" applyProtection="0">
      <alignment horizontal="center"/>
    </xf>
    <xf numFmtId="171" fontId="21" fillId="0" borderId="2" applyFill="0" applyAlignment="0" applyProtection="0">
      <alignment horizontal="center"/>
    </xf>
    <xf numFmtId="0" fontId="66" fillId="44" borderId="35" applyNumberFormat="0" applyAlignment="0" applyProtection="0"/>
    <xf numFmtId="0" fontId="67" fillId="57" borderId="36" applyNumberFormat="0" applyAlignment="0" applyProtection="0"/>
    <xf numFmtId="43" fontId="4" fillId="0" borderId="0" applyFont="0" applyFill="0" applyBorder="0" applyAlignment="0" applyProtection="0"/>
    <xf numFmtId="43" fontId="5" fillId="0" borderId="0"/>
    <xf numFmtId="43" fontId="4" fillId="0" borderId="0" applyFont="0" applyFill="0" applyBorder="0" applyAlignment="0" applyProtection="0"/>
    <xf numFmtId="43" fontId="43" fillId="0" borderId="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3" fontId="5" fillId="0" borderId="0" applyFont="0" applyFill="0" applyBorder="0" applyAlignment="0" applyProtection="0"/>
    <xf numFmtId="3" fontId="5" fillId="0" borderId="0" applyFont="0" applyFill="0" applyBorder="0" applyAlignment="0" applyProtection="0"/>
    <xf numFmtId="3" fontId="5" fillId="0" borderId="0" applyFont="0" applyFill="0" applyBorder="0" applyAlignment="0" applyProtection="0"/>
    <xf numFmtId="3" fontId="5" fillId="0" borderId="0" applyFont="0" applyFill="0" applyBorder="0" applyAlignment="0" applyProtection="0"/>
    <xf numFmtId="3" fontId="5" fillId="0" borderId="0" applyFont="0" applyFill="0" applyBorder="0" applyAlignment="0" applyProtection="0"/>
    <xf numFmtId="3" fontId="5"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1" fillId="0" borderId="0" applyFont="0" applyFill="0" applyBorder="0" applyAlignment="0" applyProtection="0"/>
    <xf numFmtId="44" fontId="4"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5" fontId="5" fillId="0" borderId="0" applyFont="0" applyFill="0" applyBorder="0" applyAlignment="0" applyProtection="0"/>
    <xf numFmtId="5" fontId="5" fillId="0" borderId="0" applyFont="0" applyFill="0" applyBorder="0" applyAlignment="0" applyProtection="0"/>
    <xf numFmtId="5" fontId="5" fillId="0" borderId="0" applyFont="0" applyFill="0" applyBorder="0" applyAlignment="0" applyProtection="0"/>
    <xf numFmtId="5" fontId="5" fillId="0" borderId="0" applyFont="0" applyFill="0" applyBorder="0" applyAlignment="0" applyProtection="0"/>
    <xf numFmtId="5" fontId="5" fillId="0" borderId="0" applyFont="0" applyFill="0" applyBorder="0" applyAlignment="0" applyProtection="0"/>
    <xf numFmtId="5" fontId="5" fillId="0" borderId="0" applyFont="0" applyFill="0" applyBorder="0" applyAlignment="0" applyProtection="0"/>
    <xf numFmtId="14" fontId="5" fillId="0" borderId="0" applyFont="0" applyFill="0" applyBorder="0" applyAlignment="0" applyProtection="0"/>
    <xf numFmtId="172" fontId="68" fillId="0" borderId="0">
      <alignment horizontal="center" wrapText="1"/>
    </xf>
    <xf numFmtId="14" fontId="5" fillId="0" borderId="0" applyFont="0" applyFill="0" applyBorder="0" applyAlignment="0" applyProtection="0"/>
    <xf numFmtId="14" fontId="5" fillId="0" borderId="0" applyFont="0" applyFill="0" applyBorder="0" applyAlignment="0" applyProtection="0"/>
    <xf numFmtId="14" fontId="5" fillId="0" borderId="0" applyFont="0" applyFill="0" applyBorder="0" applyAlignment="0" applyProtection="0"/>
    <xf numFmtId="14" fontId="5" fillId="0" borderId="0" applyFont="0" applyFill="0" applyBorder="0" applyAlignment="0" applyProtection="0"/>
    <xf numFmtId="14" fontId="5" fillId="0" borderId="0" applyFont="0" applyFill="0" applyBorder="0" applyAlignment="0" applyProtection="0"/>
    <xf numFmtId="173" fontId="69" fillId="0" borderId="0" applyFont="0" applyFill="0" applyBorder="0" applyProtection="0">
      <alignment horizontal="center"/>
    </xf>
    <xf numFmtId="174" fontId="4" fillId="0" borderId="0"/>
    <xf numFmtId="0" fontId="4" fillId="0" borderId="0"/>
    <xf numFmtId="9" fontId="4" fillId="0" borderId="0"/>
    <xf numFmtId="0" fontId="70" fillId="0" borderId="0" applyNumberFormat="0" applyFill="0" applyBorder="0" applyAlignment="0" applyProtection="0"/>
    <xf numFmtId="2" fontId="5" fillId="0" borderId="0" applyFont="0" applyFill="0" applyBorder="0" applyAlignment="0" applyProtection="0"/>
    <xf numFmtId="2" fontId="5" fillId="0" borderId="0" applyFont="0" applyFill="0" applyBorder="0" applyAlignment="0" applyProtection="0"/>
    <xf numFmtId="2" fontId="5" fillId="0" borderId="0" applyFont="0" applyFill="0" applyBorder="0" applyAlignment="0" applyProtection="0"/>
    <xf numFmtId="2" fontId="5" fillId="0" borderId="0" applyFont="0" applyFill="0" applyBorder="0" applyAlignment="0" applyProtection="0"/>
    <xf numFmtId="2" fontId="5" fillId="0" borderId="0" applyFont="0" applyFill="0" applyBorder="0" applyAlignment="0" applyProtection="0"/>
    <xf numFmtId="2" fontId="5" fillId="0" borderId="0" applyFont="0" applyFill="0" applyBorder="0" applyAlignment="0" applyProtection="0"/>
    <xf numFmtId="0" fontId="71" fillId="40" borderId="0" applyNumberFormat="0" applyBorder="0" applyAlignment="0" applyProtection="0"/>
    <xf numFmtId="0" fontId="72" fillId="0" borderId="0"/>
    <xf numFmtId="0" fontId="72" fillId="0" borderId="0">
      <alignment horizontal="left"/>
    </xf>
    <xf numFmtId="0" fontId="72" fillId="0" borderId="0">
      <alignment horizontal="left"/>
    </xf>
    <xf numFmtId="0" fontId="72" fillId="0" borderId="0">
      <alignment horizontal="left"/>
    </xf>
    <xf numFmtId="0" fontId="72" fillId="0" borderId="0">
      <alignment horizontal="left"/>
    </xf>
    <xf numFmtId="0" fontId="72" fillId="0" borderId="0">
      <alignment horizontal="left"/>
    </xf>
    <xf numFmtId="0" fontId="68" fillId="0" borderId="11" applyNumberFormat="0" applyFill="0" applyProtection="0">
      <alignment horizontal="center" wrapText="1"/>
    </xf>
    <xf numFmtId="0" fontId="73" fillId="0" borderId="37" applyNumberFormat="0" applyFill="0" applyAlignment="0" applyProtection="0"/>
    <xf numFmtId="0" fontId="74" fillId="0" borderId="38" applyNumberFormat="0" applyFill="0" applyAlignment="0" applyProtection="0"/>
    <xf numFmtId="0" fontId="75" fillId="0" borderId="39" applyNumberFormat="0" applyFill="0" applyAlignment="0" applyProtection="0"/>
    <xf numFmtId="0" fontId="75" fillId="0" borderId="0" applyNumberFormat="0" applyFill="0" applyBorder="0" applyAlignment="0" applyProtection="0"/>
    <xf numFmtId="0" fontId="76" fillId="0" borderId="0" applyNumberFormat="0" applyFill="0" applyBorder="0" applyAlignment="0" applyProtection="0"/>
    <xf numFmtId="0" fontId="77" fillId="43" borderId="35" applyNumberFormat="0" applyAlignment="0" applyProtection="0"/>
    <xf numFmtId="0" fontId="72" fillId="0" borderId="0"/>
    <xf numFmtId="0" fontId="78" fillId="0" borderId="40" applyNumberFormat="0" applyFill="0" applyAlignment="0" applyProtection="0"/>
    <xf numFmtId="0" fontId="79" fillId="58" borderId="0" applyNumberFormat="0" applyBorder="0" applyAlignment="0" applyProtection="0"/>
    <xf numFmtId="0" fontId="21" fillId="0" borderId="0" applyNumberFormat="0" applyFill="0" applyAlignment="0" applyProtection="0"/>
    <xf numFmtId="37" fontId="80"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8" fillId="0" borderId="0"/>
    <xf numFmtId="0" fontId="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167" fontId="5"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1" fillId="0" borderId="0"/>
    <xf numFmtId="0" fontId="8" fillId="0" borderId="0"/>
    <xf numFmtId="0" fontId="8"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1" fillId="0" borderId="0"/>
    <xf numFmtId="0" fontId="1" fillId="0" borderId="0"/>
    <xf numFmtId="0" fontId="5"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1"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2" fillId="0" borderId="0"/>
    <xf numFmtId="0" fontId="42" fillId="0" borderId="0"/>
    <xf numFmtId="0" fontId="42" fillId="0" borderId="0"/>
    <xf numFmtId="37" fontId="81" fillId="0" borderId="0"/>
    <xf numFmtId="0" fontId="1" fillId="0" borderId="0"/>
    <xf numFmtId="0" fontId="1" fillId="0" borderId="0"/>
    <xf numFmtId="0" fontId="1" fillId="0" borderId="0"/>
    <xf numFmtId="0" fontId="1" fillId="0" borderId="0"/>
    <xf numFmtId="0" fontId="44" fillId="0" borderId="0"/>
    <xf numFmtId="0" fontId="42" fillId="59" borderId="41" applyNumberFormat="0" applyFont="0" applyAlignment="0" applyProtection="0"/>
    <xf numFmtId="175" fontId="21" fillId="0" borderId="0" applyFill="0" applyBorder="0" applyAlignment="0" applyProtection="0"/>
    <xf numFmtId="176" fontId="5" fillId="0" borderId="0"/>
    <xf numFmtId="177" fontId="5" fillId="0" borderId="0"/>
    <xf numFmtId="178" fontId="5" fillId="0" borderId="0"/>
    <xf numFmtId="179" fontId="5" fillId="0" borderId="0"/>
    <xf numFmtId="180" fontId="5" fillId="0" borderId="0"/>
    <xf numFmtId="181" fontId="5" fillId="0" borderId="0"/>
    <xf numFmtId="182" fontId="5" fillId="0" borderId="0"/>
    <xf numFmtId="183" fontId="5" fillId="0" borderId="0"/>
    <xf numFmtId="184" fontId="5" fillId="0" borderId="0"/>
    <xf numFmtId="185" fontId="5" fillId="0" borderId="0"/>
    <xf numFmtId="186" fontId="5" fillId="0" borderId="0"/>
    <xf numFmtId="0" fontId="82" fillId="44" borderId="42" applyNumberFormat="0" applyAlignment="0" applyProtection="0"/>
    <xf numFmtId="10" fontId="69" fillId="0" borderId="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4"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21" fillId="0" borderId="2" applyNumberFormat="0" applyFill="0" applyAlignment="0" applyProtection="0"/>
    <xf numFmtId="49" fontId="5" fillId="0" borderId="0"/>
    <xf numFmtId="0" fontId="58" fillId="0" borderId="0" applyNumberFormat="0" applyFill="0" applyBorder="0" applyAlignment="0" applyProtection="0"/>
    <xf numFmtId="0" fontId="83" fillId="0" borderId="43" applyNumberFormat="0" applyFill="0" applyAlignment="0" applyProtection="0"/>
    <xf numFmtId="187" fontId="84" fillId="0" borderId="0"/>
    <xf numFmtId="188" fontId="84" fillId="0" borderId="0"/>
    <xf numFmtId="0" fontId="85" fillId="0" borderId="0" applyNumberFormat="0" applyFill="0" applyBorder="0" applyAlignment="0" applyProtection="0"/>
  </cellStyleXfs>
  <cellXfs count="364">
    <xf numFmtId="0" fontId="0" fillId="0" borderId="0" xfId="0"/>
    <xf numFmtId="0" fontId="3" fillId="0" borderId="0" xfId="0" applyFont="1" applyFill="1"/>
    <xf numFmtId="0" fontId="0" fillId="0" borderId="0" xfId="0" applyFill="1"/>
    <xf numFmtId="0" fontId="4" fillId="0" borderId="0" xfId="0" applyFont="1" applyFill="1"/>
    <xf numFmtId="0" fontId="4" fillId="0" borderId="0" xfId="0" applyFont="1" applyFill="1" applyAlignment="1">
      <alignment horizontal="left"/>
    </xf>
    <xf numFmtId="0" fontId="2" fillId="0" borderId="0" xfId="0" applyFont="1"/>
    <xf numFmtId="0" fontId="0" fillId="15" borderId="0" xfId="0" applyFill="1"/>
    <xf numFmtId="0" fontId="0" fillId="0" borderId="0" xfId="0" applyAlignment="1">
      <alignment horizontal="center"/>
    </xf>
    <xf numFmtId="0" fontId="0" fillId="0" borderId="5" xfId="0" applyBorder="1"/>
    <xf numFmtId="0" fontId="0" fillId="0" borderId="6" xfId="0" applyBorder="1"/>
    <xf numFmtId="0" fontId="17" fillId="0" borderId="0" xfId="0" applyFont="1" applyFill="1"/>
    <xf numFmtId="0" fontId="18" fillId="0" borderId="0" xfId="0" applyFont="1" applyFill="1"/>
    <xf numFmtId="0" fontId="4" fillId="0" borderId="0" xfId="0" applyFont="1" applyFill="1" applyAlignment="1">
      <alignment vertical="top"/>
    </xf>
    <xf numFmtId="0" fontId="4" fillId="0" borderId="0" xfId="0" applyFont="1" applyFill="1" applyBorder="1" applyAlignment="1">
      <alignment horizontal="center" wrapText="1"/>
    </xf>
    <xf numFmtId="0" fontId="4" fillId="0" borderId="2" xfId="0" applyFont="1" applyFill="1" applyBorder="1"/>
    <xf numFmtId="0" fontId="4" fillId="0" borderId="3" xfId="0" applyFont="1" applyFill="1" applyBorder="1"/>
    <xf numFmtId="0" fontId="4" fillId="0" borderId="2" xfId="0" applyFont="1" applyFill="1" applyBorder="1" applyAlignment="1">
      <alignment horizontal="center" wrapText="1"/>
    </xf>
    <xf numFmtId="164" fontId="4" fillId="0" borderId="4" xfId="0" applyNumberFormat="1" applyFont="1" applyFill="1" applyBorder="1"/>
    <xf numFmtId="164" fontId="4" fillId="0" borderId="0" xfId="0" applyNumberFormat="1" applyFont="1" applyFill="1" applyBorder="1"/>
    <xf numFmtId="0" fontId="4" fillId="0" borderId="0" xfId="0" quotePrefix="1" applyFont="1" applyFill="1"/>
    <xf numFmtId="165" fontId="4" fillId="0" borderId="0" xfId="1" applyNumberFormat="1" applyFont="1" applyFill="1"/>
    <xf numFmtId="165" fontId="4" fillId="0" borderId="0" xfId="1" applyNumberFormat="1" applyFont="1" applyFill="1" applyBorder="1"/>
    <xf numFmtId="165" fontId="4" fillId="0" borderId="4" xfId="1" applyNumberFormat="1" applyFont="1" applyFill="1" applyBorder="1"/>
    <xf numFmtId="164" fontId="4" fillId="0" borderId="3" xfId="0" applyNumberFormat="1" applyFont="1" applyFill="1" applyBorder="1"/>
    <xf numFmtId="164" fontId="4" fillId="0" borderId="0" xfId="2" applyNumberFormat="1" applyFont="1" applyFill="1"/>
    <xf numFmtId="9" fontId="4" fillId="0" borderId="0" xfId="3" applyFont="1" applyFill="1"/>
    <xf numFmtId="0" fontId="4" fillId="0" borderId="0" xfId="0" applyFont="1" applyFill="1" applyAlignment="1">
      <alignment horizontal="right"/>
    </xf>
    <xf numFmtId="0" fontId="4" fillId="0" borderId="0" xfId="0" quotePrefix="1" applyFont="1" applyFill="1" applyAlignment="1"/>
    <xf numFmtId="164" fontId="4" fillId="0" borderId="0" xfId="1" applyNumberFormat="1" applyFont="1" applyFill="1" applyAlignment="1">
      <alignment wrapText="1"/>
    </xf>
    <xf numFmtId="165" fontId="4" fillId="0" borderId="0" xfId="1" applyNumberFormat="1" applyFont="1" applyFill="1" applyAlignment="1">
      <alignment wrapText="1"/>
    </xf>
    <xf numFmtId="165" fontId="4" fillId="0" borderId="2" xfId="1" applyNumberFormat="1" applyFont="1" applyFill="1" applyBorder="1" applyAlignment="1">
      <alignment wrapText="1"/>
    </xf>
    <xf numFmtId="164" fontId="4" fillId="0" borderId="3" xfId="0" applyNumberFormat="1" applyFont="1" applyFill="1" applyBorder="1" applyAlignment="1">
      <alignment wrapText="1"/>
    </xf>
    <xf numFmtId="164" fontId="4" fillId="0" borderId="0" xfId="0" applyNumberFormat="1" applyFont="1" applyFill="1" applyAlignment="1">
      <alignment wrapText="1"/>
    </xf>
    <xf numFmtId="0" fontId="4" fillId="0" borderId="0" xfId="0" applyFont="1" applyFill="1" applyAlignment="1"/>
    <xf numFmtId="164" fontId="4" fillId="0" borderId="0" xfId="0" applyNumberFormat="1" applyFont="1" applyFill="1"/>
    <xf numFmtId="10" fontId="4" fillId="0" borderId="0" xfId="3" applyNumberFormat="1" applyFont="1" applyFill="1"/>
    <xf numFmtId="0" fontId="4" fillId="0" borderId="0" xfId="0" applyFont="1" applyFill="1" applyAlignment="1">
      <alignment wrapText="1"/>
    </xf>
    <xf numFmtId="0" fontId="4" fillId="0" borderId="0" xfId="0" applyFont="1" applyFill="1" applyBorder="1"/>
    <xf numFmtId="0" fontId="17" fillId="0" borderId="2" xfId="0" applyFont="1" applyFill="1" applyBorder="1" applyAlignment="1">
      <alignment horizontal="center"/>
    </xf>
    <xf numFmtId="0" fontId="17" fillId="0" borderId="0" xfId="0" applyFont="1" applyFill="1" applyBorder="1" applyAlignment="1">
      <alignment horizontal="center"/>
    </xf>
    <xf numFmtId="0" fontId="17" fillId="0" borderId="0" xfId="0" applyFont="1" applyFill="1" applyAlignment="1">
      <alignment vertical="top"/>
    </xf>
    <xf numFmtId="0" fontId="19" fillId="0" borderId="0" xfId="0" applyFont="1" applyFill="1" applyAlignment="1">
      <alignment horizontal="left"/>
    </xf>
    <xf numFmtId="0" fontId="19" fillId="0" borderId="0" xfId="0" applyFont="1" applyFill="1" applyAlignment="1">
      <alignment wrapText="1"/>
    </xf>
    <xf numFmtId="0" fontId="17" fillId="0" borderId="0" xfId="0" applyFont="1" applyFill="1" applyAlignment="1">
      <alignment horizontal="right" vertical="top"/>
    </xf>
    <xf numFmtId="0" fontId="19" fillId="0" borderId="0" xfId="0" applyFont="1" applyFill="1"/>
    <xf numFmtId="0" fontId="17" fillId="0" borderId="0" xfId="0" applyFont="1" applyFill="1" applyBorder="1" applyAlignment="1">
      <alignment horizontal="left"/>
    </xf>
    <xf numFmtId="0" fontId="2" fillId="0" borderId="0" xfId="0" applyFont="1" applyAlignment="1">
      <alignment horizontal="center"/>
    </xf>
    <xf numFmtId="0" fontId="20" fillId="0" borderId="0" xfId="896" applyFont="1"/>
    <xf numFmtId="165" fontId="20" fillId="0" borderId="0" xfId="896" applyNumberFormat="1" applyFont="1"/>
    <xf numFmtId="0" fontId="21" fillId="0" borderId="0" xfId="896" applyFont="1" applyFill="1" applyBorder="1"/>
    <xf numFmtId="3" fontId="21" fillId="0" borderId="0" xfId="896" applyNumberFormat="1" applyFont="1" applyFill="1" applyBorder="1"/>
    <xf numFmtId="1" fontId="21" fillId="0" borderId="0" xfId="896" applyNumberFormat="1" applyFont="1" applyFill="1" applyBorder="1"/>
    <xf numFmtId="0" fontId="21" fillId="0" borderId="0" xfId="896" applyFont="1"/>
    <xf numFmtId="10" fontId="21" fillId="0" borderId="0" xfId="896" applyNumberFormat="1" applyFont="1"/>
    <xf numFmtId="0" fontId="23" fillId="16" borderId="13" xfId="896" applyFont="1" applyFill="1" applyBorder="1"/>
    <xf numFmtId="0" fontId="23" fillId="16" borderId="13" xfId="896" applyFont="1" applyFill="1" applyBorder="1" applyAlignment="1">
      <alignment horizontal="center"/>
    </xf>
    <xf numFmtId="0" fontId="24" fillId="16" borderId="17" xfId="896" applyFont="1" applyFill="1" applyBorder="1" applyAlignment="1">
      <alignment horizontal="center"/>
    </xf>
    <xf numFmtId="0" fontId="24" fillId="17" borderId="17" xfId="896" applyFont="1" applyFill="1" applyBorder="1" applyAlignment="1">
      <alignment horizontal="center" vertical="center" wrapText="1"/>
    </xf>
    <xf numFmtId="0" fontId="24" fillId="17" borderId="18" xfId="896" applyFont="1" applyFill="1" applyBorder="1" applyAlignment="1">
      <alignment horizontal="center" vertical="center" wrapText="1"/>
    </xf>
    <xf numFmtId="0" fontId="24" fillId="16" borderId="17" xfId="896" applyFont="1" applyFill="1" applyBorder="1" applyAlignment="1">
      <alignment horizontal="center" vertical="center" wrapText="1"/>
    </xf>
    <xf numFmtId="0" fontId="24" fillId="16" borderId="18" xfId="896" applyFont="1" applyFill="1" applyBorder="1" applyAlignment="1">
      <alignment horizontal="center" vertical="center" wrapText="1"/>
    </xf>
    <xf numFmtId="0" fontId="19" fillId="0" borderId="18" xfId="896" applyFont="1" applyBorder="1"/>
    <xf numFmtId="3" fontId="19" fillId="0" borderId="18" xfId="896" applyNumberFormat="1" applyFont="1" applyBorder="1"/>
    <xf numFmtId="168" fontId="19" fillId="0" borderId="18" xfId="896" applyNumberFormat="1" applyFont="1" applyFill="1" applyBorder="1"/>
    <xf numFmtId="165" fontId="21" fillId="0" borderId="0" xfId="896" applyNumberFormat="1" applyFont="1"/>
    <xf numFmtId="0" fontId="20" fillId="0" borderId="0" xfId="0" applyFont="1"/>
    <xf numFmtId="37" fontId="20" fillId="0" borderId="0" xfId="1424" applyNumberFormat="1" applyFont="1" applyAlignment="1">
      <alignment horizontal="right"/>
    </xf>
    <xf numFmtId="43" fontId="21" fillId="0" borderId="0" xfId="896" applyNumberFormat="1" applyFont="1"/>
    <xf numFmtId="0" fontId="25" fillId="0" borderId="18" xfId="896" applyFont="1" applyBorder="1"/>
    <xf numFmtId="165" fontId="25" fillId="0" borderId="18" xfId="1" applyNumberFormat="1" applyFont="1" applyBorder="1"/>
    <xf numFmtId="43" fontId="25" fillId="0" borderId="18" xfId="1" applyNumberFormat="1" applyFont="1" applyBorder="1"/>
    <xf numFmtId="1" fontId="21" fillId="0" borderId="0" xfId="896" applyNumberFormat="1" applyFont="1"/>
    <xf numFmtId="0" fontId="23" fillId="16" borderId="0" xfId="896" applyFont="1" applyFill="1" applyBorder="1"/>
    <xf numFmtId="0" fontId="24" fillId="16" borderId="13" xfId="896" applyFont="1" applyFill="1" applyBorder="1" applyAlignment="1">
      <alignment horizontal="center"/>
    </xf>
    <xf numFmtId="0" fontId="24" fillId="16" borderId="20" xfId="896" applyFont="1" applyFill="1" applyBorder="1" applyAlignment="1">
      <alignment horizontal="center"/>
    </xf>
    <xf numFmtId="0" fontId="24" fillId="16" borderId="16" xfId="896" applyFont="1" applyFill="1" applyBorder="1" applyAlignment="1">
      <alignment horizontal="center"/>
    </xf>
    <xf numFmtId="0" fontId="24" fillId="16" borderId="21" xfId="896" applyFont="1" applyFill="1" applyBorder="1" applyAlignment="1">
      <alignment horizontal="center"/>
    </xf>
    <xf numFmtId="0" fontId="24" fillId="16" borderId="14" xfId="896" applyFont="1" applyFill="1" applyBorder="1" applyAlignment="1">
      <alignment horizontal="center"/>
    </xf>
    <xf numFmtId="0" fontId="24" fillId="16" borderId="4" xfId="896" applyFont="1" applyFill="1" applyBorder="1" applyAlignment="1">
      <alignment horizontal="center"/>
    </xf>
    <xf numFmtId="0" fontId="24" fillId="16" borderId="15" xfId="896" applyFont="1" applyFill="1" applyBorder="1" applyAlignment="1">
      <alignment horizontal="center"/>
    </xf>
    <xf numFmtId="0" fontId="24" fillId="17" borderId="14" xfId="896" applyFont="1" applyFill="1" applyBorder="1" applyAlignment="1">
      <alignment horizontal="center"/>
    </xf>
    <xf numFmtId="0" fontId="24" fillId="17" borderId="4" xfId="896" applyFont="1" applyFill="1" applyBorder="1" applyAlignment="1">
      <alignment horizontal="center"/>
    </xf>
    <xf numFmtId="0" fontId="24" fillId="17" borderId="15" xfId="896" applyFont="1" applyFill="1" applyBorder="1" applyAlignment="1">
      <alignment horizontal="center"/>
    </xf>
    <xf numFmtId="0" fontId="24" fillId="16" borderId="14" xfId="896" applyFont="1" applyFill="1" applyBorder="1" applyAlignment="1">
      <alignment horizontal="center" vertical="center" wrapText="1"/>
    </xf>
    <xf numFmtId="0" fontId="24" fillId="16" borderId="4" xfId="896" applyFont="1" applyFill="1" applyBorder="1" applyAlignment="1">
      <alignment horizontal="center" vertical="center" wrapText="1"/>
    </xf>
    <xf numFmtId="0" fontId="24" fillId="16" borderId="15" xfId="896" applyFont="1" applyFill="1" applyBorder="1" applyAlignment="1">
      <alignment horizontal="center" vertical="center" wrapText="1"/>
    </xf>
    <xf numFmtId="0" fontId="24" fillId="17" borderId="14" xfId="896" applyFont="1" applyFill="1" applyBorder="1" applyAlignment="1">
      <alignment horizontal="center" vertical="center" wrapText="1"/>
    </xf>
    <xf numFmtId="0" fontId="24" fillId="17" borderId="4" xfId="896" applyFont="1" applyFill="1" applyBorder="1" applyAlignment="1">
      <alignment horizontal="center" vertical="center" wrapText="1"/>
    </xf>
    <xf numFmtId="0" fontId="24" fillId="17" borderId="15" xfId="896" applyFont="1" applyFill="1" applyBorder="1" applyAlignment="1">
      <alignment horizontal="center" vertical="center" wrapText="1"/>
    </xf>
    <xf numFmtId="0" fontId="21" fillId="0" borderId="18" xfId="896" applyFont="1" applyBorder="1"/>
    <xf numFmtId="3" fontId="21" fillId="0" borderId="22" xfId="896" applyNumberFormat="1" applyFont="1" applyBorder="1"/>
    <xf numFmtId="0" fontId="21" fillId="0" borderId="22" xfId="896" applyFont="1" applyBorder="1"/>
    <xf numFmtId="165" fontId="0" fillId="18" borderId="22" xfId="1" applyNumberFormat="1" applyFont="1" applyFill="1" applyBorder="1"/>
    <xf numFmtId="165" fontId="0" fillId="19" borderId="0" xfId="1" applyNumberFormat="1" applyFont="1" applyFill="1" applyBorder="1"/>
    <xf numFmtId="169" fontId="0" fillId="0" borderId="0" xfId="3" applyNumberFormat="1" applyFont="1" applyFill="1" applyBorder="1"/>
    <xf numFmtId="165" fontId="0" fillId="0" borderId="23" xfId="1" applyNumberFormat="1" applyFont="1" applyFill="1" applyBorder="1"/>
    <xf numFmtId="165" fontId="0" fillId="0" borderId="21" xfId="1" applyNumberFormat="1" applyFont="1" applyFill="1" applyBorder="1"/>
    <xf numFmtId="165" fontId="0" fillId="0" borderId="16" xfId="1" applyNumberFormat="1" applyFont="1" applyFill="1" applyBorder="1"/>
    <xf numFmtId="165" fontId="21" fillId="0" borderId="0" xfId="1" applyNumberFormat="1" applyFont="1" applyBorder="1"/>
    <xf numFmtId="165" fontId="21" fillId="0" borderId="24" xfId="1" applyNumberFormat="1" applyFont="1" applyBorder="1"/>
    <xf numFmtId="165" fontId="0" fillId="0" borderId="22" xfId="1" applyNumberFormat="1" applyFont="1" applyFill="1" applyBorder="1"/>
    <xf numFmtId="165" fontId="0" fillId="0" borderId="0" xfId="1" applyNumberFormat="1" applyFont="1" applyFill="1" applyBorder="1"/>
    <xf numFmtId="165" fontId="0" fillId="0" borderId="24" xfId="1" applyNumberFormat="1" applyFont="1" applyFill="1" applyBorder="1"/>
    <xf numFmtId="3" fontId="19" fillId="0" borderId="22" xfId="896" applyNumberFormat="1" applyFont="1" applyBorder="1"/>
    <xf numFmtId="3" fontId="19" fillId="0" borderId="0" xfId="896" applyNumberFormat="1" applyFont="1" applyBorder="1"/>
    <xf numFmtId="3" fontId="19" fillId="0" borderId="24" xfId="896" applyNumberFormat="1" applyFont="1" applyBorder="1"/>
    <xf numFmtId="3" fontId="21" fillId="0" borderId="0" xfId="896" applyNumberFormat="1" applyFont="1"/>
    <xf numFmtId="165" fontId="21" fillId="0" borderId="22" xfId="1" applyNumberFormat="1" applyFont="1" applyBorder="1"/>
    <xf numFmtId="0" fontId="21" fillId="0" borderId="13" xfId="896" applyFont="1" applyBorder="1"/>
    <xf numFmtId="165" fontId="0" fillId="0" borderId="25" xfId="1" applyNumberFormat="1" applyFont="1" applyFill="1" applyBorder="1"/>
    <xf numFmtId="165" fontId="0" fillId="0" borderId="2" xfId="1" applyNumberFormat="1" applyFont="1" applyFill="1" applyBorder="1"/>
    <xf numFmtId="165" fontId="0" fillId="0" borderId="19" xfId="1" applyNumberFormat="1" applyFont="1" applyFill="1" applyBorder="1"/>
    <xf numFmtId="3" fontId="19" fillId="0" borderId="25" xfId="896" applyNumberFormat="1" applyFont="1" applyBorder="1"/>
    <xf numFmtId="3" fontId="19" fillId="0" borderId="2" xfId="896" applyNumberFormat="1" applyFont="1" applyBorder="1"/>
    <xf numFmtId="3" fontId="19" fillId="0" borderId="19" xfId="896" applyNumberFormat="1" applyFont="1" applyBorder="1"/>
    <xf numFmtId="0" fontId="26" fillId="0" borderId="26" xfId="896" applyFont="1" applyBorder="1"/>
    <xf numFmtId="165" fontId="0" fillId="18" borderId="14" xfId="1" applyNumberFormat="1" applyFont="1" applyFill="1" applyBorder="1"/>
    <xf numFmtId="165" fontId="0" fillId="19" borderId="4" xfId="1" applyNumberFormat="1" applyFont="1" applyFill="1" applyBorder="1"/>
    <xf numFmtId="169" fontId="0" fillId="18" borderId="4" xfId="3" applyNumberFormat="1" applyFont="1" applyFill="1" applyBorder="1"/>
    <xf numFmtId="165" fontId="0" fillId="0" borderId="14" xfId="1" applyNumberFormat="1" applyFont="1" applyFill="1" applyBorder="1"/>
    <xf numFmtId="165" fontId="0" fillId="0" borderId="4" xfId="1" applyNumberFormat="1" applyFont="1" applyFill="1" applyBorder="1"/>
    <xf numFmtId="165" fontId="0" fillId="0" borderId="15" xfId="1" applyNumberFormat="1" applyFont="1" applyFill="1" applyBorder="1"/>
    <xf numFmtId="165" fontId="25" fillId="0" borderId="25" xfId="1" applyNumberFormat="1" applyFont="1" applyBorder="1"/>
    <xf numFmtId="165" fontId="25" fillId="0" borderId="2" xfId="1" applyNumberFormat="1" applyFont="1" applyBorder="1"/>
    <xf numFmtId="165" fontId="25" fillId="0" borderId="19" xfId="1" applyNumberFormat="1" applyFont="1" applyBorder="1"/>
    <xf numFmtId="169" fontId="0" fillId="0" borderId="0" xfId="3" applyNumberFormat="1" applyFont="1"/>
    <xf numFmtId="165" fontId="0" fillId="0" borderId="9" xfId="1" applyNumberFormat="1" applyFont="1" applyFill="1" applyBorder="1"/>
    <xf numFmtId="190" fontId="4" fillId="0" borderId="0" xfId="0" applyNumberFormat="1" applyFont="1" applyFill="1" applyAlignment="1">
      <alignment wrapText="1"/>
    </xf>
    <xf numFmtId="165" fontId="3" fillId="17" borderId="0" xfId="1" applyNumberFormat="1" applyFont="1" applyFill="1" applyBorder="1"/>
    <xf numFmtId="0" fontId="0" fillId="0" borderId="5" xfId="0" applyFill="1" applyBorder="1"/>
    <xf numFmtId="0" fontId="0" fillId="0" borderId="8" xfId="0" applyFill="1" applyBorder="1"/>
    <xf numFmtId="189" fontId="4" fillId="0" borderId="0" xfId="1" applyNumberFormat="1" applyFont="1" applyFill="1" applyAlignment="1">
      <alignment wrapText="1"/>
    </xf>
    <xf numFmtId="0" fontId="0" fillId="0" borderId="0" xfId="0"/>
    <xf numFmtId="0" fontId="0" fillId="0" borderId="0" xfId="0"/>
    <xf numFmtId="165" fontId="0" fillId="0" borderId="7" xfId="1" applyNumberFormat="1" applyFont="1" applyFill="1" applyBorder="1"/>
    <xf numFmtId="0" fontId="2" fillId="0" borderId="0" xfId="0" applyFont="1" applyFill="1" applyAlignment="1">
      <alignment horizontal="center"/>
    </xf>
    <xf numFmtId="0" fontId="0" fillId="0" borderId="0" xfId="0"/>
    <xf numFmtId="0" fontId="3" fillId="0" borderId="0" xfId="0" applyFont="1" applyFill="1"/>
    <xf numFmtId="0" fontId="3" fillId="0" borderId="0" xfId="0" applyFont="1" applyFill="1" applyAlignment="1">
      <alignment horizontal="left"/>
    </xf>
    <xf numFmtId="0" fontId="0" fillId="0" borderId="0" xfId="0" applyFill="1"/>
    <xf numFmtId="0" fontId="3" fillId="0" borderId="0" xfId="0" applyFont="1" applyFill="1" applyBorder="1"/>
    <xf numFmtId="0" fontId="0" fillId="0" borderId="0" xfId="0" applyFill="1" applyAlignment="1">
      <alignment wrapText="1"/>
    </xf>
    <xf numFmtId="0" fontId="2" fillId="0" borderId="0" xfId="0" applyFont="1"/>
    <xf numFmtId="0" fontId="0" fillId="0" borderId="8" xfId="0" applyBorder="1"/>
    <xf numFmtId="0" fontId="0" fillId="0" borderId="0" xfId="0" applyBorder="1"/>
    <xf numFmtId="0" fontId="2" fillId="0" borderId="8" xfId="0" applyFont="1" applyBorder="1"/>
    <xf numFmtId="0" fontId="0" fillId="0" borderId="10" xfId="0" applyBorder="1"/>
    <xf numFmtId="0" fontId="0" fillId="0" borderId="11" xfId="0" applyBorder="1"/>
    <xf numFmtId="43" fontId="0" fillId="0" borderId="0" xfId="1" applyFont="1" applyFill="1"/>
    <xf numFmtId="43" fontId="2" fillId="0" borderId="0" xfId="1" applyFont="1" applyFill="1" applyAlignment="1">
      <alignment horizontal="center"/>
    </xf>
    <xf numFmtId="165" fontId="0" fillId="0" borderId="0" xfId="1" applyNumberFormat="1" applyFont="1" applyFill="1"/>
    <xf numFmtId="0" fontId="3" fillId="17" borderId="5" xfId="0" applyFont="1" applyFill="1" applyBorder="1" applyAlignment="1">
      <alignment vertical="top"/>
    </xf>
    <xf numFmtId="0" fontId="3" fillId="17" borderId="6" xfId="0" applyFont="1" applyFill="1" applyBorder="1"/>
    <xf numFmtId="0" fontId="3" fillId="17" borderId="7" xfId="0" applyFont="1" applyFill="1" applyBorder="1"/>
    <xf numFmtId="0" fontId="3" fillId="17" borderId="8" xfId="0" applyFont="1" applyFill="1" applyBorder="1" applyAlignment="1">
      <alignment vertical="top"/>
    </xf>
    <xf numFmtId="0" fontId="3" fillId="17" borderId="0" xfId="0" applyFont="1" applyFill="1" applyBorder="1"/>
    <xf numFmtId="0" fontId="3" fillId="17" borderId="9" xfId="0" applyFont="1" applyFill="1" applyBorder="1"/>
    <xf numFmtId="0" fontId="3" fillId="17" borderId="11" xfId="0" applyFont="1" applyFill="1" applyBorder="1"/>
    <xf numFmtId="43" fontId="3" fillId="17" borderId="0" xfId="1" applyFont="1" applyFill="1" applyBorder="1"/>
    <xf numFmtId="0" fontId="3" fillId="0" borderId="0" xfId="0" applyFont="1" applyFill="1" applyBorder="1" applyAlignment="1">
      <alignment vertical="top"/>
    </xf>
    <xf numFmtId="0" fontId="3" fillId="17" borderId="12" xfId="0" applyFont="1" applyFill="1" applyBorder="1"/>
    <xf numFmtId="0" fontId="3" fillId="17" borderId="10" xfId="0" applyFont="1" applyFill="1" applyBorder="1" applyAlignment="1">
      <alignment vertical="top"/>
    </xf>
    <xf numFmtId="43" fontId="0" fillId="0" borderId="6" xfId="1" applyFont="1" applyFill="1" applyBorder="1"/>
    <xf numFmtId="0" fontId="0" fillId="0" borderId="6" xfId="0" applyFill="1" applyBorder="1"/>
    <xf numFmtId="43" fontId="0" fillId="0" borderId="0" xfId="1" applyFont="1" applyFill="1" applyBorder="1"/>
    <xf numFmtId="0" fontId="0" fillId="0" borderId="0" xfId="0" applyFill="1" applyBorder="1"/>
    <xf numFmtId="43" fontId="0" fillId="0" borderId="9" xfId="1" applyFont="1" applyFill="1" applyBorder="1"/>
    <xf numFmtId="43" fontId="0" fillId="0" borderId="11" xfId="1" applyFont="1" applyFill="1" applyBorder="1"/>
    <xf numFmtId="0" fontId="0" fillId="0" borderId="11" xfId="0" applyFill="1" applyBorder="1"/>
    <xf numFmtId="43" fontId="0" fillId="0" borderId="12" xfId="1" applyFont="1" applyFill="1" applyBorder="1"/>
    <xf numFmtId="165" fontId="4" fillId="0" borderId="0" xfId="1" applyNumberFormat="1" applyFont="1" applyFill="1"/>
    <xf numFmtId="10" fontId="4" fillId="0" borderId="0" xfId="3" applyNumberFormat="1" applyFont="1" applyFill="1"/>
    <xf numFmtId="165" fontId="4" fillId="0" borderId="2" xfId="1" applyNumberFormat="1" applyFont="1" applyFill="1" applyBorder="1"/>
    <xf numFmtId="165" fontId="0" fillId="0" borderId="0" xfId="0" applyNumberFormat="1" applyFill="1"/>
    <xf numFmtId="0" fontId="20" fillId="0" borderId="0" xfId="1575" applyFont="1"/>
    <xf numFmtId="165" fontId="20" fillId="0" borderId="0" xfId="1575" applyNumberFormat="1" applyFont="1"/>
    <xf numFmtId="10" fontId="21" fillId="0" borderId="0" xfId="1575" applyNumberFormat="1" applyFont="1"/>
    <xf numFmtId="0" fontId="23" fillId="16" borderId="13" xfId="1575" applyFont="1" applyFill="1" applyBorder="1" applyAlignment="1">
      <alignment horizontal="center"/>
    </xf>
    <xf numFmtId="0" fontId="24" fillId="16" borderId="17" xfId="1575" applyFont="1" applyFill="1" applyBorder="1" applyAlignment="1">
      <alignment horizontal="center" vertical="center" wrapText="1"/>
    </xf>
    <xf numFmtId="0" fontId="24" fillId="16" borderId="18" xfId="1575" applyFont="1" applyFill="1" applyBorder="1" applyAlignment="1">
      <alignment horizontal="center" vertical="center" wrapText="1"/>
    </xf>
    <xf numFmtId="0" fontId="20" fillId="0" borderId="0" xfId="0" applyFont="1"/>
    <xf numFmtId="37" fontId="20" fillId="0" borderId="0" xfId="1424" applyNumberFormat="1" applyFont="1" applyAlignment="1">
      <alignment horizontal="right"/>
    </xf>
    <xf numFmtId="43" fontId="21" fillId="0" borderId="0" xfId="1575" applyNumberFormat="1" applyFont="1"/>
    <xf numFmtId="0" fontId="24" fillId="17" borderId="17" xfId="1575" applyFont="1" applyFill="1" applyBorder="1" applyAlignment="1">
      <alignment horizontal="center" vertical="center" wrapText="1"/>
    </xf>
    <xf numFmtId="0" fontId="24" fillId="17" borderId="18" xfId="1575" applyFont="1" applyFill="1" applyBorder="1" applyAlignment="1">
      <alignment horizontal="center" vertical="center" wrapText="1"/>
    </xf>
    <xf numFmtId="0" fontId="19" fillId="0" borderId="18" xfId="1575" applyFont="1" applyBorder="1"/>
    <xf numFmtId="3" fontId="19" fillId="0" borderId="18" xfId="1575" applyNumberFormat="1" applyFont="1" applyBorder="1"/>
    <xf numFmtId="168" fontId="19" fillId="0" borderId="18" xfId="1575" applyNumberFormat="1" applyFont="1" applyFill="1" applyBorder="1"/>
    <xf numFmtId="0" fontId="25" fillId="0" borderId="18" xfId="1575" applyFont="1" applyBorder="1"/>
    <xf numFmtId="165" fontId="25" fillId="0" borderId="18" xfId="1" applyNumberFormat="1" applyFont="1" applyBorder="1"/>
    <xf numFmtId="43" fontId="25" fillId="0" borderId="18" xfId="1" applyNumberFormat="1" applyFont="1" applyBorder="1"/>
    <xf numFmtId="0" fontId="0" fillId="0" borderId="0" xfId="0"/>
    <xf numFmtId="0" fontId="21" fillId="0" borderId="0" xfId="1575" applyFont="1"/>
    <xf numFmtId="0" fontId="23" fillId="16" borderId="13" xfId="1575" applyFont="1" applyFill="1" applyBorder="1"/>
    <xf numFmtId="0" fontId="24" fillId="16" borderId="17" xfId="1575" applyFont="1" applyFill="1" applyBorder="1" applyAlignment="1">
      <alignment horizontal="center"/>
    </xf>
    <xf numFmtId="0" fontId="21" fillId="0" borderId="18" xfId="1575" applyFont="1" applyBorder="1"/>
    <xf numFmtId="165" fontId="21" fillId="0" borderId="0" xfId="1575" applyNumberFormat="1" applyFont="1"/>
    <xf numFmtId="1" fontId="21" fillId="0" borderId="0" xfId="1575" applyNumberFormat="1" applyFont="1"/>
    <xf numFmtId="0" fontId="24" fillId="17" borderId="14" xfId="1575" applyFont="1" applyFill="1" applyBorder="1" applyAlignment="1">
      <alignment horizontal="center"/>
    </xf>
    <xf numFmtId="0" fontId="24" fillId="17" borderId="4" xfId="1575" applyFont="1" applyFill="1" applyBorder="1" applyAlignment="1">
      <alignment horizontal="center"/>
    </xf>
    <xf numFmtId="0" fontId="24" fillId="17" borderId="15" xfId="1575" applyFont="1" applyFill="1" applyBorder="1" applyAlignment="1">
      <alignment horizontal="center"/>
    </xf>
    <xf numFmtId="0" fontId="24" fillId="16" borderId="13" xfId="1575" applyFont="1" applyFill="1" applyBorder="1" applyAlignment="1">
      <alignment horizontal="center"/>
    </xf>
    <xf numFmtId="0" fontId="24" fillId="16" borderId="16" xfId="1575" applyFont="1" applyFill="1" applyBorder="1" applyAlignment="1">
      <alignment horizontal="center"/>
    </xf>
    <xf numFmtId="0" fontId="24" fillId="16" borderId="21" xfId="1575" applyFont="1" applyFill="1" applyBorder="1" applyAlignment="1">
      <alignment horizontal="center"/>
    </xf>
    <xf numFmtId="0" fontId="24" fillId="16" borderId="14" xfId="1575" applyFont="1" applyFill="1" applyBorder="1" applyAlignment="1">
      <alignment horizontal="center"/>
    </xf>
    <xf numFmtId="0" fontId="24" fillId="16" borderId="4" xfId="1575" applyFont="1" applyFill="1" applyBorder="1" applyAlignment="1">
      <alignment horizontal="center"/>
    </xf>
    <xf numFmtId="0" fontId="24" fillId="16" borderId="15" xfId="1575" applyFont="1" applyFill="1" applyBorder="1" applyAlignment="1">
      <alignment horizontal="center"/>
    </xf>
    <xf numFmtId="165" fontId="0" fillId="18" borderId="22" xfId="1" applyNumberFormat="1" applyFont="1" applyFill="1" applyBorder="1"/>
    <xf numFmtId="165" fontId="0" fillId="19" borderId="0" xfId="1" applyNumberFormat="1" applyFont="1" applyFill="1" applyBorder="1"/>
    <xf numFmtId="169" fontId="0" fillId="0" borderId="0" xfId="3" applyNumberFormat="1" applyFont="1" applyFill="1" applyBorder="1"/>
    <xf numFmtId="165" fontId="0" fillId="0" borderId="23" xfId="1" applyNumberFormat="1" applyFont="1" applyFill="1" applyBorder="1"/>
    <xf numFmtId="165" fontId="0" fillId="0" borderId="21" xfId="1" applyNumberFormat="1" applyFont="1" applyFill="1" applyBorder="1"/>
    <xf numFmtId="165" fontId="0" fillId="0" borderId="16" xfId="1" applyNumberFormat="1" applyFont="1" applyFill="1" applyBorder="1"/>
    <xf numFmtId="165" fontId="21" fillId="0" borderId="0" xfId="1" applyNumberFormat="1" applyFont="1" applyBorder="1"/>
    <xf numFmtId="165" fontId="21" fillId="0" borderId="24" xfId="1" applyNumberFormat="1" applyFont="1" applyBorder="1"/>
    <xf numFmtId="165" fontId="0" fillId="0" borderId="22" xfId="1" applyNumberFormat="1" applyFont="1" applyFill="1" applyBorder="1"/>
    <xf numFmtId="165" fontId="0" fillId="0" borderId="0" xfId="1" applyNumberFormat="1" applyFont="1" applyFill="1" applyBorder="1"/>
    <xf numFmtId="165" fontId="0" fillId="0" borderId="24" xfId="1" applyNumberFormat="1" applyFont="1" applyFill="1" applyBorder="1"/>
    <xf numFmtId="165" fontId="21" fillId="0" borderId="22" xfId="1" applyNumberFormat="1" applyFont="1" applyBorder="1"/>
    <xf numFmtId="0" fontId="21" fillId="0" borderId="13" xfId="1575" applyFont="1" applyBorder="1"/>
    <xf numFmtId="165" fontId="0" fillId="0" borderId="25" xfId="1" applyNumberFormat="1" applyFont="1" applyFill="1" applyBorder="1"/>
    <xf numFmtId="165" fontId="0" fillId="0" borderId="2" xfId="1" applyNumberFormat="1" applyFont="1" applyFill="1" applyBorder="1"/>
    <xf numFmtId="165" fontId="0" fillId="0" borderId="19" xfId="1" applyNumberFormat="1" applyFont="1" applyFill="1" applyBorder="1"/>
    <xf numFmtId="0" fontId="26" fillId="0" borderId="26" xfId="1575" applyFont="1" applyBorder="1"/>
    <xf numFmtId="169" fontId="0" fillId="0" borderId="0" xfId="3" applyNumberFormat="1" applyFont="1"/>
    <xf numFmtId="0" fontId="24" fillId="17" borderId="14" xfId="1575" applyFont="1" applyFill="1" applyBorder="1" applyAlignment="1">
      <alignment horizontal="center" vertical="center" wrapText="1"/>
    </xf>
    <xf numFmtId="0" fontId="24" fillId="17" borderId="4" xfId="1575" applyFont="1" applyFill="1" applyBorder="1" applyAlignment="1">
      <alignment horizontal="center" vertical="center" wrapText="1"/>
    </xf>
    <xf numFmtId="0" fontId="24" fillId="17" borderId="15" xfId="1575" applyFont="1" applyFill="1" applyBorder="1" applyAlignment="1">
      <alignment horizontal="center" vertical="center" wrapText="1"/>
    </xf>
    <xf numFmtId="3" fontId="19" fillId="0" borderId="22" xfId="1575" applyNumberFormat="1" applyFont="1" applyBorder="1"/>
    <xf numFmtId="3" fontId="19" fillId="0" borderId="0" xfId="1575" applyNumberFormat="1" applyFont="1" applyBorder="1"/>
    <xf numFmtId="3" fontId="19" fillId="0" borderId="24" xfId="1575" applyNumberFormat="1" applyFont="1" applyBorder="1"/>
    <xf numFmtId="3" fontId="19" fillId="0" borderId="25" xfId="1575" applyNumberFormat="1" applyFont="1" applyBorder="1"/>
    <xf numFmtId="3" fontId="19" fillId="0" borderId="2" xfId="1575" applyNumberFormat="1" applyFont="1" applyBorder="1"/>
    <xf numFmtId="3" fontId="19" fillId="0" borderId="19" xfId="1575" applyNumberFormat="1" applyFont="1" applyBorder="1"/>
    <xf numFmtId="0" fontId="24" fillId="16" borderId="14" xfId="1575" applyFont="1" applyFill="1" applyBorder="1" applyAlignment="1">
      <alignment horizontal="center" vertical="center" wrapText="1"/>
    </xf>
    <xf numFmtId="0" fontId="24" fillId="16" borderId="4" xfId="1575" applyFont="1" applyFill="1" applyBorder="1" applyAlignment="1">
      <alignment horizontal="center" vertical="center" wrapText="1"/>
    </xf>
    <xf numFmtId="0" fontId="24" fillId="16" borderId="15" xfId="1575" applyFont="1" applyFill="1" applyBorder="1" applyAlignment="1">
      <alignment horizontal="center" vertical="center" wrapText="1"/>
    </xf>
    <xf numFmtId="0" fontId="24" fillId="61" borderId="14" xfId="1575" applyFont="1" applyFill="1" applyBorder="1" applyAlignment="1">
      <alignment horizontal="center"/>
    </xf>
    <xf numFmtId="0" fontId="24" fillId="61" borderId="4" xfId="1575" applyFont="1" applyFill="1" applyBorder="1" applyAlignment="1">
      <alignment horizontal="center"/>
    </xf>
    <xf numFmtId="0" fontId="24" fillId="61" borderId="15" xfId="1575" applyFont="1" applyFill="1" applyBorder="1" applyAlignment="1">
      <alignment horizontal="center"/>
    </xf>
    <xf numFmtId="165" fontId="1" fillId="18" borderId="14" xfId="1" applyNumberFormat="1" applyFont="1" applyFill="1" applyBorder="1"/>
    <xf numFmtId="165" fontId="1" fillId="19" borderId="4" xfId="1" applyNumberFormat="1" applyFont="1" applyFill="1" applyBorder="1"/>
    <xf numFmtId="169" fontId="1" fillId="0" borderId="4" xfId="3" applyNumberFormat="1" applyFont="1" applyFill="1" applyBorder="1"/>
    <xf numFmtId="165" fontId="1" fillId="0" borderId="14" xfId="1" applyNumberFormat="1" applyFont="1" applyFill="1" applyBorder="1"/>
    <xf numFmtId="165" fontId="1" fillId="0" borderId="4" xfId="1" applyNumberFormat="1" applyFont="1" applyFill="1" applyBorder="1"/>
    <xf numFmtId="165" fontId="1" fillId="0" borderId="15" xfId="1" applyNumberFormat="1" applyFont="1" applyFill="1" applyBorder="1"/>
    <xf numFmtId="165" fontId="1" fillId="0" borderId="25" xfId="1" applyNumberFormat="1" applyFont="1" applyFill="1" applyBorder="1"/>
    <xf numFmtId="165" fontId="1" fillId="0" borderId="2" xfId="1" applyNumberFormat="1" applyFont="1" applyFill="1" applyBorder="1"/>
    <xf numFmtId="165" fontId="1" fillId="0" borderId="19" xfId="1" applyNumberFormat="1" applyFont="1" applyFill="1" applyBorder="1"/>
    <xf numFmtId="165" fontId="86" fillId="0" borderId="25" xfId="1" applyNumberFormat="1" applyFont="1" applyBorder="1"/>
    <xf numFmtId="165" fontId="86" fillId="0" borderId="2" xfId="1" applyNumberFormat="1" applyFont="1" applyBorder="1"/>
    <xf numFmtId="165" fontId="86" fillId="0" borderId="19" xfId="1" applyNumberFormat="1" applyFont="1" applyBorder="1"/>
    <xf numFmtId="0" fontId="2" fillId="0" borderId="0" xfId="0" applyFont="1" applyAlignment="1">
      <alignment horizontal="center"/>
    </xf>
    <xf numFmtId="0" fontId="0" fillId="15" borderId="0" xfId="0" applyFill="1"/>
    <xf numFmtId="0" fontId="21" fillId="0" borderId="0" xfId="1575" applyFont="1" applyFill="1" applyBorder="1"/>
    <xf numFmtId="0" fontId="39" fillId="0" borderId="0" xfId="0" applyFont="1" applyFill="1" applyAlignment="1">
      <alignment wrapText="1"/>
    </xf>
    <xf numFmtId="190" fontId="4" fillId="0" borderId="0" xfId="1" applyNumberFormat="1" applyFont="1" applyFill="1" applyAlignment="1">
      <alignment wrapText="1"/>
    </xf>
    <xf numFmtId="0" fontId="2" fillId="0" borderId="0" xfId="0" applyFont="1" applyFill="1" applyAlignment="1">
      <alignment wrapText="1"/>
    </xf>
    <xf numFmtId="0" fontId="2" fillId="0" borderId="0" xfId="0" applyFont="1" applyAlignment="1">
      <alignment wrapText="1"/>
    </xf>
    <xf numFmtId="0" fontId="16" fillId="0" borderId="0" xfId="0" applyFont="1" applyFill="1" applyAlignment="1">
      <alignment wrapText="1"/>
    </xf>
    <xf numFmtId="0" fontId="2" fillId="0" borderId="0" xfId="0" applyFont="1" applyAlignment="1">
      <alignment horizontal="center"/>
    </xf>
    <xf numFmtId="0" fontId="0" fillId="0" borderId="0" xfId="0" applyAlignment="1">
      <alignment horizontal="center"/>
    </xf>
    <xf numFmtId="0" fontId="0" fillId="0" borderId="0" xfId="0" applyAlignment="1">
      <alignment horizontal="left" wrapText="1"/>
    </xf>
    <xf numFmtId="0" fontId="2" fillId="0" borderId="0" xfId="0" applyFont="1" applyAlignment="1">
      <alignment horizontal="left" wrapText="1"/>
    </xf>
    <xf numFmtId="0" fontId="39" fillId="0" borderId="0" xfId="0" applyFont="1" applyAlignment="1">
      <alignment wrapText="1"/>
    </xf>
    <xf numFmtId="0" fontId="0" fillId="15" borderId="0" xfId="0" applyFill="1"/>
    <xf numFmtId="0" fontId="4" fillId="0" borderId="0" xfId="0" applyFont="1" applyFill="1" applyBorder="1"/>
    <xf numFmtId="0" fontId="4" fillId="0" borderId="0" xfId="0" applyFont="1" applyFill="1" applyBorder="1" applyAlignment="1">
      <alignment horizontal="left" wrapText="1"/>
    </xf>
    <xf numFmtId="0" fontId="4" fillId="0" borderId="0" xfId="0" applyFont="1" applyFill="1" applyBorder="1" applyAlignment="1">
      <alignment wrapText="1"/>
    </xf>
    <xf numFmtId="0" fontId="4" fillId="0" borderId="0" xfId="0" applyFont="1" applyFill="1" applyAlignment="1">
      <alignment wrapText="1"/>
    </xf>
    <xf numFmtId="0" fontId="17" fillId="0" borderId="2" xfId="0" applyFont="1" applyFill="1" applyBorder="1" applyAlignment="1">
      <alignment horizontal="center" wrapText="1"/>
    </xf>
    <xf numFmtId="0" fontId="17" fillId="0" borderId="2" xfId="0" applyFont="1" applyFill="1" applyBorder="1" applyAlignment="1">
      <alignment horizontal="center"/>
    </xf>
    <xf numFmtId="0" fontId="17" fillId="0" borderId="0" xfId="0" applyFont="1" applyFill="1" applyAlignment="1">
      <alignment horizontal="center" wrapText="1"/>
    </xf>
    <xf numFmtId="0" fontId="17" fillId="0" borderId="0" xfId="0" applyFont="1" applyFill="1" applyAlignment="1">
      <alignment horizontal="center"/>
    </xf>
    <xf numFmtId="0" fontId="17" fillId="0" borderId="0" xfId="0" applyFont="1" applyFill="1" applyBorder="1" applyAlignment="1">
      <alignment horizontal="center"/>
    </xf>
    <xf numFmtId="0" fontId="4" fillId="0" borderId="0" xfId="0" quotePrefix="1" applyFont="1" applyFill="1" applyAlignment="1">
      <alignment wrapText="1"/>
    </xf>
    <xf numFmtId="0" fontId="17" fillId="0" borderId="0" xfId="0" applyFont="1" applyFill="1" applyBorder="1" applyAlignment="1">
      <alignment horizontal="center" wrapText="1"/>
    </xf>
    <xf numFmtId="0" fontId="17" fillId="0" borderId="0" xfId="0" applyFont="1" applyFill="1" applyAlignment="1">
      <alignment wrapText="1"/>
    </xf>
    <xf numFmtId="10" fontId="4" fillId="0" borderId="0" xfId="0" applyNumberFormat="1" applyFont="1" applyFill="1" applyAlignment="1">
      <alignment horizontal="left"/>
    </xf>
    <xf numFmtId="0" fontId="4" fillId="0" borderId="0" xfId="0" applyFont="1" applyFill="1" applyAlignment="1">
      <alignment horizontal="left" wrapText="1"/>
    </xf>
    <xf numFmtId="0" fontId="4" fillId="0" borderId="0" xfId="0" applyFont="1" applyFill="1" applyAlignment="1">
      <alignment horizontal="left" vertical="top" wrapText="1"/>
    </xf>
    <xf numFmtId="0" fontId="4" fillId="0" borderId="0" xfId="0" applyFont="1" applyFill="1" applyAlignment="1">
      <alignment vertical="top" wrapText="1"/>
    </xf>
    <xf numFmtId="0" fontId="17" fillId="0" borderId="0" xfId="0" applyFont="1" applyFill="1" applyAlignment="1">
      <alignment vertical="top" wrapText="1"/>
    </xf>
    <xf numFmtId="0" fontId="87" fillId="0" borderId="0" xfId="0" applyFont="1" applyFill="1" applyAlignment="1">
      <alignment wrapText="1"/>
    </xf>
    <xf numFmtId="0" fontId="24" fillId="16" borderId="13" xfId="896" applyFont="1" applyFill="1" applyBorder="1" applyAlignment="1">
      <alignment horizontal="center" vertical="center" wrapText="1"/>
    </xf>
    <xf numFmtId="0" fontId="24" fillId="16" borderId="17" xfId="896" applyFont="1" applyFill="1" applyBorder="1" applyAlignment="1">
      <alignment horizontal="center" vertical="center" wrapText="1"/>
    </xf>
    <xf numFmtId="0" fontId="22" fillId="0" borderId="2" xfId="896" applyFont="1" applyBorder="1" applyAlignment="1">
      <alignment horizontal="left" vertical="top"/>
    </xf>
    <xf numFmtId="0" fontId="24" fillId="17" borderId="14" xfId="896" applyFont="1" applyFill="1" applyBorder="1" applyAlignment="1">
      <alignment horizontal="center"/>
    </xf>
    <xf numFmtId="0" fontId="24" fillId="17" borderId="4" xfId="896" applyFont="1" applyFill="1" applyBorder="1" applyAlignment="1">
      <alignment horizontal="center"/>
    </xf>
    <xf numFmtId="0" fontId="24" fillId="17" borderId="15" xfId="896" applyFont="1" applyFill="1" applyBorder="1" applyAlignment="1">
      <alignment horizontal="center"/>
    </xf>
    <xf numFmtId="0" fontId="24" fillId="16" borderId="13" xfId="896" applyFont="1" applyFill="1" applyBorder="1" applyAlignment="1">
      <alignment horizontal="center" vertical="center"/>
    </xf>
    <xf numFmtId="0" fontId="24" fillId="16" borderId="17" xfId="896" applyFont="1" applyFill="1" applyBorder="1" applyAlignment="1">
      <alignment horizontal="center" vertical="center"/>
    </xf>
    <xf numFmtId="0" fontId="24" fillId="16" borderId="16" xfId="896" applyFont="1" applyFill="1" applyBorder="1" applyAlignment="1">
      <alignment horizontal="center" vertical="center"/>
    </xf>
    <xf numFmtId="0" fontId="24" fillId="16" borderId="19" xfId="896" applyFont="1" applyFill="1" applyBorder="1" applyAlignment="1">
      <alignment horizontal="center" vertical="center"/>
    </xf>
    <xf numFmtId="0" fontId="23" fillId="17" borderId="14" xfId="896" applyFont="1" applyFill="1" applyBorder="1" applyAlignment="1">
      <alignment horizontal="center"/>
    </xf>
    <xf numFmtId="0" fontId="23" fillId="17" borderId="4" xfId="896" applyFont="1" applyFill="1" applyBorder="1" applyAlignment="1">
      <alignment horizontal="center"/>
    </xf>
    <xf numFmtId="0" fontId="23" fillId="17" borderId="15" xfId="896" applyFont="1" applyFill="1" applyBorder="1" applyAlignment="1">
      <alignment horizontal="center"/>
    </xf>
    <xf numFmtId="0" fontId="23" fillId="16" borderId="14" xfId="896" applyFont="1" applyFill="1" applyBorder="1" applyAlignment="1">
      <alignment horizontal="center"/>
    </xf>
    <xf numFmtId="0" fontId="23" fillId="16" borderId="4" xfId="896" applyFont="1" applyFill="1" applyBorder="1" applyAlignment="1">
      <alignment horizontal="center"/>
    </xf>
    <xf numFmtId="0" fontId="23" fillId="16" borderId="15" xfId="896" applyFont="1" applyFill="1" applyBorder="1" applyAlignment="1">
      <alignment horizontal="center"/>
    </xf>
    <xf numFmtId="0" fontId="24" fillId="16" borderId="14" xfId="896" applyFont="1" applyFill="1" applyBorder="1" applyAlignment="1">
      <alignment horizontal="center"/>
    </xf>
    <xf numFmtId="0" fontId="24" fillId="16" borderId="4" xfId="896" applyFont="1" applyFill="1" applyBorder="1" applyAlignment="1">
      <alignment horizontal="center"/>
    </xf>
    <xf numFmtId="0" fontId="24" fillId="16" borderId="15" xfId="896" applyFont="1" applyFill="1" applyBorder="1" applyAlignment="1">
      <alignment horizontal="center"/>
    </xf>
    <xf numFmtId="0" fontId="24" fillId="16" borderId="13" xfId="1575" applyFont="1" applyFill="1" applyBorder="1" applyAlignment="1">
      <alignment horizontal="center" vertical="center" wrapText="1"/>
    </xf>
    <xf numFmtId="0" fontId="24" fillId="16" borderId="17" xfId="1575" applyFont="1" applyFill="1" applyBorder="1" applyAlignment="1">
      <alignment horizontal="center" vertical="center" wrapText="1"/>
    </xf>
    <xf numFmtId="0" fontId="24" fillId="16" borderId="13" xfId="1575" applyFont="1" applyFill="1" applyBorder="1" applyAlignment="1">
      <alignment horizontal="center" vertical="center"/>
    </xf>
    <xf numFmtId="0" fontId="24" fillId="16" borderId="17" xfId="1575" applyFont="1" applyFill="1" applyBorder="1" applyAlignment="1">
      <alignment horizontal="center" vertical="center"/>
    </xf>
    <xf numFmtId="0" fontId="22" fillId="0" borderId="2" xfId="1575" applyFont="1" applyBorder="1" applyAlignment="1">
      <alignment horizontal="left" vertical="top"/>
    </xf>
    <xf numFmtId="0" fontId="24" fillId="17" borderId="14" xfId="1575" applyFont="1" applyFill="1" applyBorder="1" applyAlignment="1">
      <alignment horizontal="center"/>
    </xf>
    <xf numFmtId="0" fontId="24" fillId="17" borderId="4" xfId="1575" applyFont="1" applyFill="1" applyBorder="1" applyAlignment="1">
      <alignment horizontal="center"/>
    </xf>
    <xf numFmtId="0" fontId="24" fillId="16" borderId="16" xfId="1575" applyFont="1" applyFill="1" applyBorder="1" applyAlignment="1">
      <alignment horizontal="center" vertical="center"/>
    </xf>
    <xf numFmtId="0" fontId="24" fillId="16" borderId="19" xfId="1575" applyFont="1" applyFill="1" applyBorder="1" applyAlignment="1">
      <alignment horizontal="center" vertical="center"/>
    </xf>
    <xf numFmtId="0" fontId="23" fillId="17" borderId="14" xfId="1575" applyFont="1" applyFill="1" applyBorder="1" applyAlignment="1">
      <alignment horizontal="center"/>
    </xf>
    <xf numFmtId="0" fontId="23" fillId="17" borderId="4" xfId="1575" applyFont="1" applyFill="1" applyBorder="1" applyAlignment="1">
      <alignment horizontal="center"/>
    </xf>
    <xf numFmtId="0" fontId="23" fillId="17" borderId="15" xfId="1575" applyFont="1" applyFill="1" applyBorder="1" applyAlignment="1">
      <alignment horizontal="center"/>
    </xf>
    <xf numFmtId="0" fontId="23" fillId="16" borderId="14" xfId="1575" applyFont="1" applyFill="1" applyBorder="1" applyAlignment="1">
      <alignment horizontal="center"/>
    </xf>
    <xf numFmtId="0" fontId="23" fillId="16" borderId="4" xfId="1575" applyFont="1" applyFill="1" applyBorder="1" applyAlignment="1">
      <alignment horizontal="center"/>
    </xf>
    <xf numFmtId="0" fontId="23" fillId="16" borderId="15" xfId="1575" applyFont="1" applyFill="1" applyBorder="1" applyAlignment="1">
      <alignment horizontal="center"/>
    </xf>
    <xf numFmtId="0" fontId="24" fillId="17" borderId="15" xfId="1575" applyFont="1" applyFill="1" applyBorder="1" applyAlignment="1">
      <alignment horizontal="center"/>
    </xf>
    <xf numFmtId="0" fontId="24" fillId="16" borderId="14" xfId="1575" applyFont="1" applyFill="1" applyBorder="1" applyAlignment="1">
      <alignment horizontal="center"/>
    </xf>
    <xf numFmtId="0" fontId="24" fillId="16" borderId="4" xfId="1575" applyFont="1" applyFill="1" applyBorder="1" applyAlignment="1">
      <alignment horizontal="center"/>
    </xf>
    <xf numFmtId="0" fontId="24" fillId="16" borderId="15" xfId="1575" applyFont="1" applyFill="1" applyBorder="1" applyAlignment="1">
      <alignment horizontal="center"/>
    </xf>
    <xf numFmtId="0" fontId="24" fillId="61" borderId="14" xfId="1575" applyFont="1" applyFill="1" applyBorder="1" applyAlignment="1">
      <alignment horizontal="center"/>
    </xf>
    <xf numFmtId="0" fontId="24" fillId="61" borderId="4" xfId="1575" applyFont="1" applyFill="1" applyBorder="1" applyAlignment="1">
      <alignment horizontal="center"/>
    </xf>
    <xf numFmtId="0" fontId="24" fillId="61" borderId="15" xfId="1575" applyFont="1" applyFill="1" applyBorder="1" applyAlignment="1">
      <alignment horizontal="center"/>
    </xf>
    <xf numFmtId="0" fontId="3" fillId="17" borderId="11" xfId="0" applyFont="1" applyFill="1" applyBorder="1" applyAlignment="1">
      <alignment vertical="top" wrapText="1"/>
    </xf>
    <xf numFmtId="0" fontId="3" fillId="17" borderId="12" xfId="0" applyFont="1" applyFill="1" applyBorder="1" applyAlignment="1">
      <alignment vertical="top" wrapText="1"/>
    </xf>
    <xf numFmtId="0" fontId="3" fillId="17" borderId="10" xfId="0" applyFont="1" applyFill="1" applyBorder="1" applyAlignment="1">
      <alignment vertical="top" wrapText="1"/>
    </xf>
    <xf numFmtId="0" fontId="16" fillId="0" borderId="0" xfId="0" applyFont="1" applyFill="1" applyAlignment="1">
      <alignment horizontal="center"/>
    </xf>
    <xf numFmtId="0" fontId="2" fillId="0" borderId="0" xfId="0" applyFont="1" applyFill="1" applyAlignment="1">
      <alignment horizontal="center" wrapText="1"/>
    </xf>
    <xf numFmtId="0" fontId="0" fillId="0" borderId="0" xfId="0" applyFill="1" applyAlignment="1">
      <alignment wrapText="1"/>
    </xf>
    <xf numFmtId="0" fontId="0" fillId="0" borderId="0" xfId="0" applyFill="1" applyAlignment="1">
      <alignment wrapText="1"/>
    </xf>
    <xf numFmtId="0" fontId="0" fillId="63" borderId="0" xfId="0" applyFill="1" applyAlignment="1">
      <alignment wrapText="1"/>
    </xf>
    <xf numFmtId="0" fontId="0" fillId="0" borderId="0" xfId="0" applyFill="1" applyAlignment="1">
      <alignment wrapText="1"/>
    </xf>
    <xf numFmtId="0" fontId="0" fillId="0" borderId="0" xfId="0" applyFill="1" applyAlignment="1">
      <alignment wrapText="1"/>
    </xf>
    <xf numFmtId="0" fontId="19" fillId="0" borderId="0" xfId="0" applyFont="1" applyFill="1"/>
    <xf numFmtId="0" fontId="0" fillId="0" borderId="0" xfId="0" applyFill="1" applyAlignment="1">
      <alignment wrapText="1"/>
    </xf>
    <xf numFmtId="0" fontId="0" fillId="62" borderId="0" xfId="0" applyFill="1" applyAlignment="1">
      <alignment wrapText="1"/>
    </xf>
    <xf numFmtId="0" fontId="0" fillId="0" borderId="0" xfId="0" applyFill="1" applyAlignment="1">
      <alignment wrapText="1"/>
    </xf>
    <xf numFmtId="0" fontId="0" fillId="0" borderId="0" xfId="0" applyFill="1" applyAlignment="1">
      <alignment wrapText="1"/>
    </xf>
    <xf numFmtId="0" fontId="0" fillId="62" borderId="0" xfId="0" applyFill="1" applyAlignment="1">
      <alignment wrapText="1"/>
    </xf>
    <xf numFmtId="0" fontId="0" fillId="0" borderId="0" xfId="0" applyFill="1" applyAlignment="1">
      <alignment wrapText="1"/>
    </xf>
    <xf numFmtId="0" fontId="0" fillId="62" borderId="0" xfId="0" applyFill="1" applyAlignment="1">
      <alignment wrapText="1"/>
    </xf>
    <xf numFmtId="0" fontId="0" fillId="0" borderId="0" xfId="0" applyFill="1" applyAlignment="1">
      <alignment wrapText="1"/>
    </xf>
    <xf numFmtId="0" fontId="0" fillId="0" borderId="0" xfId="0" applyFill="1" applyAlignment="1">
      <alignment wrapText="1"/>
    </xf>
    <xf numFmtId="0" fontId="0" fillId="0" borderId="0" xfId="0" applyFill="1" applyAlignment="1">
      <alignment wrapText="1"/>
    </xf>
    <xf numFmtId="0" fontId="0" fillId="0" borderId="0" xfId="0" applyFill="1" applyAlignment="1">
      <alignment wrapText="1"/>
    </xf>
    <xf numFmtId="0" fontId="0" fillId="0" borderId="0" xfId="0" applyFill="1" applyAlignment="1">
      <alignment wrapText="1"/>
    </xf>
    <xf numFmtId="0" fontId="0" fillId="0" borderId="0" xfId="0" applyFill="1" applyAlignment="1">
      <alignment wrapText="1"/>
    </xf>
    <xf numFmtId="0" fontId="19" fillId="0" borderId="0" xfId="0" applyFont="1" applyFill="1"/>
    <xf numFmtId="0" fontId="0" fillId="62" borderId="0" xfId="0" applyFill="1" applyAlignment="1">
      <alignment wrapText="1"/>
    </xf>
    <xf numFmtId="0" fontId="0" fillId="0" borderId="0" xfId="0" applyFill="1" applyAlignment="1">
      <alignment wrapText="1"/>
    </xf>
    <xf numFmtId="0" fontId="0" fillId="0" borderId="0" xfId="0" applyFill="1" applyAlignment="1">
      <alignment wrapText="1"/>
    </xf>
    <xf numFmtId="0" fontId="0" fillId="0" borderId="0" xfId="0" applyFill="1" applyAlignment="1">
      <alignment wrapText="1"/>
    </xf>
    <xf numFmtId="0" fontId="0" fillId="62" borderId="0" xfId="0" applyFill="1" applyAlignment="1">
      <alignment wrapText="1"/>
    </xf>
    <xf numFmtId="0" fontId="0" fillId="0" borderId="0" xfId="0" applyFill="1" applyAlignment="1">
      <alignment wrapText="1"/>
    </xf>
    <xf numFmtId="0" fontId="0" fillId="62" borderId="0" xfId="0" applyFill="1" applyAlignment="1">
      <alignment wrapText="1"/>
    </xf>
    <xf numFmtId="0" fontId="0" fillId="0" borderId="0" xfId="0" applyFill="1" applyAlignment="1">
      <alignment wrapText="1"/>
    </xf>
    <xf numFmtId="0" fontId="0" fillId="0" borderId="0" xfId="0" applyFill="1" applyAlignment="1">
      <alignment wrapText="1"/>
    </xf>
    <xf numFmtId="165" fontId="0" fillId="0" borderId="0" xfId="1" applyNumberFormat="1" applyFont="1" applyFill="1"/>
    <xf numFmtId="0" fontId="2" fillId="0" borderId="0" xfId="0" applyFont="1" applyFill="1" applyAlignment="1">
      <alignment horizontal="center" wrapText="1"/>
    </xf>
    <xf numFmtId="0" fontId="0" fillId="62" borderId="0" xfId="0" applyFill="1" applyAlignment="1">
      <alignment wrapText="1"/>
    </xf>
    <xf numFmtId="0" fontId="19" fillId="0" borderId="0" xfId="0" applyFont="1" applyFill="1"/>
    <xf numFmtId="0" fontId="0" fillId="63" borderId="0" xfId="0" applyFill="1" applyAlignment="1">
      <alignment wrapText="1"/>
    </xf>
  </cellXfs>
  <cellStyles count="1796">
    <cellStyle name="20% - Accent1" xfId="1442" builtinId="30" customBuiltin="1"/>
    <cellStyle name="20% - Accent1 2" xfId="4"/>
    <cellStyle name="20% - Accent1 2 2" xfId="5"/>
    <cellStyle name="20% - Accent1 2 2 2" xfId="6"/>
    <cellStyle name="20% - Accent1 2 2 2 2" xfId="7"/>
    <cellStyle name="20% - Accent1 2 2 2 2 2" xfId="8"/>
    <cellStyle name="20% - Accent1 2 2 2 3" xfId="9"/>
    <cellStyle name="20% - Accent1 2 2 3" xfId="10"/>
    <cellStyle name="20% - Accent1 2 2 3 2" xfId="11"/>
    <cellStyle name="20% - Accent1 2 2 3 2 2" xfId="12"/>
    <cellStyle name="20% - Accent1 2 2 3 3" xfId="13"/>
    <cellStyle name="20% - Accent1 2 2 4" xfId="14"/>
    <cellStyle name="20% - Accent1 2 2 4 2" xfId="15"/>
    <cellStyle name="20% - Accent1 2 2 5" xfId="16"/>
    <cellStyle name="20% - Accent1 2 3" xfId="17"/>
    <cellStyle name="20% - Accent1 2 3 2" xfId="18"/>
    <cellStyle name="20% - Accent1 2 3 2 2" xfId="19"/>
    <cellStyle name="20% - Accent1 2 3 3" xfId="20"/>
    <cellStyle name="20% - Accent1 2 4" xfId="21"/>
    <cellStyle name="20% - Accent1 2 4 2" xfId="22"/>
    <cellStyle name="20% - Accent1 2 4 2 2" xfId="23"/>
    <cellStyle name="20% - Accent1 2 4 3" xfId="24"/>
    <cellStyle name="20% - Accent1 2 5" xfId="25"/>
    <cellStyle name="20% - Accent1 2 5 2" xfId="26"/>
    <cellStyle name="20% - Accent1 2 6" xfId="27"/>
    <cellStyle name="20% - Accent1 2 7" xfId="1576"/>
    <cellStyle name="20% - Accent1 3" xfId="28"/>
    <cellStyle name="20% - Accent1 3 2" xfId="29"/>
    <cellStyle name="20% - Accent1 3 2 2" xfId="30"/>
    <cellStyle name="20% - Accent1 3 2 2 2" xfId="31"/>
    <cellStyle name="20% - Accent1 3 2 3" xfId="32"/>
    <cellStyle name="20% - Accent1 3 3" xfId="33"/>
    <cellStyle name="20% - Accent1 3 3 2" xfId="34"/>
    <cellStyle name="20% - Accent1 3 3 2 2" xfId="35"/>
    <cellStyle name="20% - Accent1 3 3 3" xfId="36"/>
    <cellStyle name="20% - Accent1 3 4" xfId="37"/>
    <cellStyle name="20% - Accent1 3 4 2" xfId="38"/>
    <cellStyle name="20% - Accent1 3 5" xfId="39"/>
    <cellStyle name="20% - Accent1 4" xfId="40"/>
    <cellStyle name="20% - Accent1 4 2" xfId="41"/>
    <cellStyle name="20% - Accent1 4 2 2" xfId="42"/>
    <cellStyle name="20% - Accent1 4 3" xfId="43"/>
    <cellStyle name="20% - Accent1 5" xfId="44"/>
    <cellStyle name="20% - Accent1 5 2" xfId="45"/>
    <cellStyle name="20% - Accent1 5 2 2" xfId="46"/>
    <cellStyle name="20% - Accent1 5 3" xfId="47"/>
    <cellStyle name="20% - Accent1 6" xfId="48"/>
    <cellStyle name="20% - Accent1 6 2" xfId="49"/>
    <cellStyle name="20% - Accent1 7" xfId="50"/>
    <cellStyle name="20% - Accent1 7 2" xfId="51"/>
    <cellStyle name="20% - Accent1 8" xfId="52"/>
    <cellStyle name="20% - Accent1 9" xfId="53"/>
    <cellStyle name="20% - Accent1 9 2" xfId="1546"/>
    <cellStyle name="20% - Accent2" xfId="1446" builtinId="34" customBuiltin="1"/>
    <cellStyle name="20% - Accent2 2" xfId="54"/>
    <cellStyle name="20% - Accent2 2 2" xfId="55"/>
    <cellStyle name="20% - Accent2 2 2 2" xfId="56"/>
    <cellStyle name="20% - Accent2 2 2 2 2" xfId="57"/>
    <cellStyle name="20% - Accent2 2 2 2 2 2" xfId="58"/>
    <cellStyle name="20% - Accent2 2 2 2 3" xfId="59"/>
    <cellStyle name="20% - Accent2 2 2 3" xfId="60"/>
    <cellStyle name="20% - Accent2 2 2 3 2" xfId="61"/>
    <cellStyle name="20% - Accent2 2 2 3 2 2" xfId="62"/>
    <cellStyle name="20% - Accent2 2 2 3 3" xfId="63"/>
    <cellStyle name="20% - Accent2 2 2 4" xfId="64"/>
    <cellStyle name="20% - Accent2 2 2 4 2" xfId="65"/>
    <cellStyle name="20% - Accent2 2 2 5" xfId="66"/>
    <cellStyle name="20% - Accent2 2 3" xfId="67"/>
    <cellStyle name="20% - Accent2 2 3 2" xfId="68"/>
    <cellStyle name="20% - Accent2 2 3 2 2" xfId="69"/>
    <cellStyle name="20% - Accent2 2 3 3" xfId="70"/>
    <cellStyle name="20% - Accent2 2 4" xfId="71"/>
    <cellStyle name="20% - Accent2 2 4 2" xfId="72"/>
    <cellStyle name="20% - Accent2 2 4 2 2" xfId="73"/>
    <cellStyle name="20% - Accent2 2 4 3" xfId="74"/>
    <cellStyle name="20% - Accent2 2 5" xfId="75"/>
    <cellStyle name="20% - Accent2 2 5 2" xfId="76"/>
    <cellStyle name="20% - Accent2 2 6" xfId="77"/>
    <cellStyle name="20% - Accent2 2 7" xfId="1577"/>
    <cellStyle name="20% - Accent2 3" xfId="78"/>
    <cellStyle name="20% - Accent2 3 2" xfId="79"/>
    <cellStyle name="20% - Accent2 3 2 2" xfId="80"/>
    <cellStyle name="20% - Accent2 3 2 2 2" xfId="81"/>
    <cellStyle name="20% - Accent2 3 2 3" xfId="82"/>
    <cellStyle name="20% - Accent2 3 3" xfId="83"/>
    <cellStyle name="20% - Accent2 3 3 2" xfId="84"/>
    <cellStyle name="20% - Accent2 3 3 2 2" xfId="85"/>
    <cellStyle name="20% - Accent2 3 3 3" xfId="86"/>
    <cellStyle name="20% - Accent2 3 4" xfId="87"/>
    <cellStyle name="20% - Accent2 3 4 2" xfId="88"/>
    <cellStyle name="20% - Accent2 3 5" xfId="89"/>
    <cellStyle name="20% - Accent2 4" xfId="90"/>
    <cellStyle name="20% - Accent2 4 2" xfId="91"/>
    <cellStyle name="20% - Accent2 4 2 2" xfId="92"/>
    <cellStyle name="20% - Accent2 4 3" xfId="93"/>
    <cellStyle name="20% - Accent2 5" xfId="94"/>
    <cellStyle name="20% - Accent2 5 2" xfId="95"/>
    <cellStyle name="20% - Accent2 5 2 2" xfId="96"/>
    <cellStyle name="20% - Accent2 5 3" xfId="97"/>
    <cellStyle name="20% - Accent2 6" xfId="98"/>
    <cellStyle name="20% - Accent2 6 2" xfId="99"/>
    <cellStyle name="20% - Accent2 7" xfId="100"/>
    <cellStyle name="20% - Accent2 7 2" xfId="101"/>
    <cellStyle name="20% - Accent2 8" xfId="102"/>
    <cellStyle name="20% - Accent2 9" xfId="103"/>
    <cellStyle name="20% - Accent2 9 2" xfId="1547"/>
    <cellStyle name="20% - Accent3" xfId="1450" builtinId="38" customBuiltin="1"/>
    <cellStyle name="20% - Accent3 2" xfId="104"/>
    <cellStyle name="20% - Accent3 2 2" xfId="105"/>
    <cellStyle name="20% - Accent3 2 2 2" xfId="106"/>
    <cellStyle name="20% - Accent3 2 2 2 2" xfId="107"/>
    <cellStyle name="20% - Accent3 2 2 2 2 2" xfId="108"/>
    <cellStyle name="20% - Accent3 2 2 2 3" xfId="109"/>
    <cellStyle name="20% - Accent3 2 2 3" xfId="110"/>
    <cellStyle name="20% - Accent3 2 2 3 2" xfId="111"/>
    <cellStyle name="20% - Accent3 2 2 3 2 2" xfId="112"/>
    <cellStyle name="20% - Accent3 2 2 3 3" xfId="113"/>
    <cellStyle name="20% - Accent3 2 2 4" xfId="114"/>
    <cellStyle name="20% - Accent3 2 2 4 2" xfId="115"/>
    <cellStyle name="20% - Accent3 2 2 5" xfId="116"/>
    <cellStyle name="20% - Accent3 2 3" xfId="117"/>
    <cellStyle name="20% - Accent3 2 3 2" xfId="118"/>
    <cellStyle name="20% - Accent3 2 3 2 2" xfId="119"/>
    <cellStyle name="20% - Accent3 2 3 3" xfId="120"/>
    <cellStyle name="20% - Accent3 2 4" xfId="121"/>
    <cellStyle name="20% - Accent3 2 4 2" xfId="122"/>
    <cellStyle name="20% - Accent3 2 4 2 2" xfId="123"/>
    <cellStyle name="20% - Accent3 2 4 3" xfId="124"/>
    <cellStyle name="20% - Accent3 2 5" xfId="125"/>
    <cellStyle name="20% - Accent3 2 5 2" xfId="126"/>
    <cellStyle name="20% - Accent3 2 6" xfId="127"/>
    <cellStyle name="20% - Accent3 2 7" xfId="1578"/>
    <cellStyle name="20% - Accent3 3" xfId="128"/>
    <cellStyle name="20% - Accent3 3 2" xfId="129"/>
    <cellStyle name="20% - Accent3 3 2 2" xfId="130"/>
    <cellStyle name="20% - Accent3 3 2 2 2" xfId="131"/>
    <cellStyle name="20% - Accent3 3 2 3" xfId="132"/>
    <cellStyle name="20% - Accent3 3 3" xfId="133"/>
    <cellStyle name="20% - Accent3 3 3 2" xfId="134"/>
    <cellStyle name="20% - Accent3 3 3 2 2" xfId="135"/>
    <cellStyle name="20% - Accent3 3 3 3" xfId="136"/>
    <cellStyle name="20% - Accent3 3 4" xfId="137"/>
    <cellStyle name="20% - Accent3 3 4 2" xfId="138"/>
    <cellStyle name="20% - Accent3 3 5" xfId="139"/>
    <cellStyle name="20% - Accent3 4" xfId="140"/>
    <cellStyle name="20% - Accent3 4 2" xfId="141"/>
    <cellStyle name="20% - Accent3 4 2 2" xfId="142"/>
    <cellStyle name="20% - Accent3 4 3" xfId="143"/>
    <cellStyle name="20% - Accent3 5" xfId="144"/>
    <cellStyle name="20% - Accent3 5 2" xfId="145"/>
    <cellStyle name="20% - Accent3 5 2 2" xfId="146"/>
    <cellStyle name="20% - Accent3 5 3" xfId="147"/>
    <cellStyle name="20% - Accent3 6" xfId="148"/>
    <cellStyle name="20% - Accent3 6 2" xfId="149"/>
    <cellStyle name="20% - Accent3 7" xfId="150"/>
    <cellStyle name="20% - Accent3 7 2" xfId="151"/>
    <cellStyle name="20% - Accent3 8" xfId="152"/>
    <cellStyle name="20% - Accent3 9" xfId="153"/>
    <cellStyle name="20% - Accent3 9 2" xfId="1534"/>
    <cellStyle name="20% - Accent4" xfId="1454" builtinId="42" customBuiltin="1"/>
    <cellStyle name="20% - Accent4 2" xfId="154"/>
    <cellStyle name="20% - Accent4 2 2" xfId="155"/>
    <cellStyle name="20% - Accent4 2 2 2" xfId="156"/>
    <cellStyle name="20% - Accent4 2 2 2 2" xfId="157"/>
    <cellStyle name="20% - Accent4 2 2 2 2 2" xfId="158"/>
    <cellStyle name="20% - Accent4 2 2 2 3" xfId="159"/>
    <cellStyle name="20% - Accent4 2 2 3" xfId="160"/>
    <cellStyle name="20% - Accent4 2 2 3 2" xfId="161"/>
    <cellStyle name="20% - Accent4 2 2 3 2 2" xfId="162"/>
    <cellStyle name="20% - Accent4 2 2 3 3" xfId="163"/>
    <cellStyle name="20% - Accent4 2 2 4" xfId="164"/>
    <cellStyle name="20% - Accent4 2 2 4 2" xfId="165"/>
    <cellStyle name="20% - Accent4 2 2 5" xfId="166"/>
    <cellStyle name="20% - Accent4 2 3" xfId="167"/>
    <cellStyle name="20% - Accent4 2 3 2" xfId="168"/>
    <cellStyle name="20% - Accent4 2 3 2 2" xfId="169"/>
    <cellStyle name="20% - Accent4 2 3 3" xfId="170"/>
    <cellStyle name="20% - Accent4 2 4" xfId="171"/>
    <cellStyle name="20% - Accent4 2 4 2" xfId="172"/>
    <cellStyle name="20% - Accent4 2 4 2 2" xfId="173"/>
    <cellStyle name="20% - Accent4 2 4 3" xfId="174"/>
    <cellStyle name="20% - Accent4 2 5" xfId="175"/>
    <cellStyle name="20% - Accent4 2 5 2" xfId="176"/>
    <cellStyle name="20% - Accent4 2 6" xfId="177"/>
    <cellStyle name="20% - Accent4 2 7" xfId="1579"/>
    <cellStyle name="20% - Accent4 3" xfId="178"/>
    <cellStyle name="20% - Accent4 3 2" xfId="179"/>
    <cellStyle name="20% - Accent4 3 2 2" xfId="180"/>
    <cellStyle name="20% - Accent4 3 2 2 2" xfId="181"/>
    <cellStyle name="20% - Accent4 3 2 3" xfId="182"/>
    <cellStyle name="20% - Accent4 3 3" xfId="183"/>
    <cellStyle name="20% - Accent4 3 3 2" xfId="184"/>
    <cellStyle name="20% - Accent4 3 3 2 2" xfId="185"/>
    <cellStyle name="20% - Accent4 3 3 3" xfId="186"/>
    <cellStyle name="20% - Accent4 3 4" xfId="187"/>
    <cellStyle name="20% - Accent4 3 4 2" xfId="188"/>
    <cellStyle name="20% - Accent4 3 5" xfId="189"/>
    <cellStyle name="20% - Accent4 4" xfId="190"/>
    <cellStyle name="20% - Accent4 4 2" xfId="191"/>
    <cellStyle name="20% - Accent4 4 2 2" xfId="192"/>
    <cellStyle name="20% - Accent4 4 3" xfId="193"/>
    <cellStyle name="20% - Accent4 5" xfId="194"/>
    <cellStyle name="20% - Accent4 5 2" xfId="195"/>
    <cellStyle name="20% - Accent4 5 2 2" xfId="196"/>
    <cellStyle name="20% - Accent4 5 3" xfId="197"/>
    <cellStyle name="20% - Accent4 6" xfId="198"/>
    <cellStyle name="20% - Accent4 6 2" xfId="199"/>
    <cellStyle name="20% - Accent4 7" xfId="200"/>
    <cellStyle name="20% - Accent4 7 2" xfId="201"/>
    <cellStyle name="20% - Accent4 8" xfId="202"/>
    <cellStyle name="20% - Accent4 9" xfId="203"/>
    <cellStyle name="20% - Accent4 9 2" xfId="1513"/>
    <cellStyle name="20% - Accent5" xfId="1458" builtinId="46" customBuiltin="1"/>
    <cellStyle name="20% - Accent5 2" xfId="204"/>
    <cellStyle name="20% - Accent5 2 2" xfId="205"/>
    <cellStyle name="20% - Accent5 2 2 2" xfId="206"/>
    <cellStyle name="20% - Accent5 2 2 2 2" xfId="207"/>
    <cellStyle name="20% - Accent5 2 2 2 2 2" xfId="208"/>
    <cellStyle name="20% - Accent5 2 2 2 3" xfId="209"/>
    <cellStyle name="20% - Accent5 2 2 3" xfId="210"/>
    <cellStyle name="20% - Accent5 2 2 3 2" xfId="211"/>
    <cellStyle name="20% - Accent5 2 2 3 2 2" xfId="212"/>
    <cellStyle name="20% - Accent5 2 2 3 3" xfId="213"/>
    <cellStyle name="20% - Accent5 2 2 4" xfId="214"/>
    <cellStyle name="20% - Accent5 2 2 4 2" xfId="215"/>
    <cellStyle name="20% - Accent5 2 2 5" xfId="216"/>
    <cellStyle name="20% - Accent5 2 3" xfId="217"/>
    <cellStyle name="20% - Accent5 2 3 2" xfId="218"/>
    <cellStyle name="20% - Accent5 2 3 2 2" xfId="219"/>
    <cellStyle name="20% - Accent5 2 3 3" xfId="220"/>
    <cellStyle name="20% - Accent5 2 4" xfId="221"/>
    <cellStyle name="20% - Accent5 2 4 2" xfId="222"/>
    <cellStyle name="20% - Accent5 2 4 2 2" xfId="223"/>
    <cellStyle name="20% - Accent5 2 4 3" xfId="224"/>
    <cellStyle name="20% - Accent5 2 5" xfId="225"/>
    <cellStyle name="20% - Accent5 2 5 2" xfId="226"/>
    <cellStyle name="20% - Accent5 2 6" xfId="227"/>
    <cellStyle name="20% - Accent5 2 7" xfId="1580"/>
    <cellStyle name="20% - Accent5 3" xfId="228"/>
    <cellStyle name="20% - Accent5 3 2" xfId="229"/>
    <cellStyle name="20% - Accent5 3 2 2" xfId="230"/>
    <cellStyle name="20% - Accent5 3 2 2 2" xfId="231"/>
    <cellStyle name="20% - Accent5 3 2 3" xfId="232"/>
    <cellStyle name="20% - Accent5 3 3" xfId="233"/>
    <cellStyle name="20% - Accent5 3 3 2" xfId="234"/>
    <cellStyle name="20% - Accent5 3 3 2 2" xfId="235"/>
    <cellStyle name="20% - Accent5 3 3 3" xfId="236"/>
    <cellStyle name="20% - Accent5 3 4" xfId="237"/>
    <cellStyle name="20% - Accent5 3 4 2" xfId="238"/>
    <cellStyle name="20% - Accent5 3 5" xfId="239"/>
    <cellStyle name="20% - Accent5 4" xfId="240"/>
    <cellStyle name="20% - Accent5 4 2" xfId="241"/>
    <cellStyle name="20% - Accent5 4 2 2" xfId="242"/>
    <cellStyle name="20% - Accent5 4 3" xfId="243"/>
    <cellStyle name="20% - Accent5 5" xfId="244"/>
    <cellStyle name="20% - Accent5 5 2" xfId="245"/>
    <cellStyle name="20% - Accent5 5 2 2" xfId="246"/>
    <cellStyle name="20% - Accent5 5 3" xfId="247"/>
    <cellStyle name="20% - Accent5 6" xfId="248"/>
    <cellStyle name="20% - Accent5 6 2" xfId="249"/>
    <cellStyle name="20% - Accent5 7" xfId="250"/>
    <cellStyle name="20% - Accent5 7 2" xfId="251"/>
    <cellStyle name="20% - Accent5 8" xfId="252"/>
    <cellStyle name="20% - Accent5 9" xfId="253"/>
    <cellStyle name="20% - Accent5 9 2" xfId="1470"/>
    <cellStyle name="20% - Accent6" xfId="1462" builtinId="50" customBuiltin="1"/>
    <cellStyle name="20% - Accent6 2" xfId="254"/>
    <cellStyle name="20% - Accent6 2 2" xfId="255"/>
    <cellStyle name="20% - Accent6 2 2 2" xfId="256"/>
    <cellStyle name="20% - Accent6 2 2 2 2" xfId="257"/>
    <cellStyle name="20% - Accent6 2 2 2 2 2" xfId="258"/>
    <cellStyle name="20% - Accent6 2 2 2 3" xfId="259"/>
    <cellStyle name="20% - Accent6 2 2 3" xfId="260"/>
    <cellStyle name="20% - Accent6 2 2 3 2" xfId="261"/>
    <cellStyle name="20% - Accent6 2 2 3 2 2" xfId="262"/>
    <cellStyle name="20% - Accent6 2 2 3 3" xfId="263"/>
    <cellStyle name="20% - Accent6 2 2 4" xfId="264"/>
    <cellStyle name="20% - Accent6 2 2 4 2" xfId="265"/>
    <cellStyle name="20% - Accent6 2 2 5" xfId="266"/>
    <cellStyle name="20% - Accent6 2 3" xfId="267"/>
    <cellStyle name="20% - Accent6 2 3 2" xfId="268"/>
    <cellStyle name="20% - Accent6 2 3 2 2" xfId="269"/>
    <cellStyle name="20% - Accent6 2 3 3" xfId="270"/>
    <cellStyle name="20% - Accent6 2 4" xfId="271"/>
    <cellStyle name="20% - Accent6 2 4 2" xfId="272"/>
    <cellStyle name="20% - Accent6 2 4 2 2" xfId="273"/>
    <cellStyle name="20% - Accent6 2 4 3" xfId="274"/>
    <cellStyle name="20% - Accent6 2 5" xfId="275"/>
    <cellStyle name="20% - Accent6 2 5 2" xfId="276"/>
    <cellStyle name="20% - Accent6 2 6" xfId="277"/>
    <cellStyle name="20% - Accent6 2 7" xfId="1479"/>
    <cellStyle name="20% - Accent6 2 8" xfId="1581"/>
    <cellStyle name="20% - Accent6 3" xfId="278"/>
    <cellStyle name="20% - Accent6 3 2" xfId="279"/>
    <cellStyle name="20% - Accent6 3 2 2" xfId="280"/>
    <cellStyle name="20% - Accent6 3 2 2 2" xfId="281"/>
    <cellStyle name="20% - Accent6 3 2 3" xfId="282"/>
    <cellStyle name="20% - Accent6 3 3" xfId="283"/>
    <cellStyle name="20% - Accent6 3 3 2" xfId="284"/>
    <cellStyle name="20% - Accent6 3 3 2 2" xfId="285"/>
    <cellStyle name="20% - Accent6 3 3 3" xfId="286"/>
    <cellStyle name="20% - Accent6 3 4" xfId="287"/>
    <cellStyle name="20% - Accent6 3 4 2" xfId="288"/>
    <cellStyle name="20% - Accent6 3 5" xfId="289"/>
    <cellStyle name="20% - Accent6 4" xfId="290"/>
    <cellStyle name="20% - Accent6 4 2" xfId="291"/>
    <cellStyle name="20% - Accent6 4 2 2" xfId="292"/>
    <cellStyle name="20% - Accent6 4 3" xfId="293"/>
    <cellStyle name="20% - Accent6 5" xfId="294"/>
    <cellStyle name="20% - Accent6 5 2" xfId="295"/>
    <cellStyle name="20% - Accent6 5 2 2" xfId="296"/>
    <cellStyle name="20% - Accent6 5 3" xfId="297"/>
    <cellStyle name="20% - Accent6 6" xfId="298"/>
    <cellStyle name="20% - Accent6 6 2" xfId="299"/>
    <cellStyle name="20% - Accent6 7" xfId="300"/>
    <cellStyle name="20% - Accent6 7 2" xfId="301"/>
    <cellStyle name="20% - Accent6 8" xfId="302"/>
    <cellStyle name="20% - Accent6 9" xfId="303"/>
    <cellStyle name="20% - Accent6 9 2" xfId="1471"/>
    <cellStyle name="40% - Accent1" xfId="1443" builtinId="31" customBuiltin="1"/>
    <cellStyle name="40% - Accent1 2" xfId="304"/>
    <cellStyle name="40% - Accent1 2 2" xfId="305"/>
    <cellStyle name="40% - Accent1 2 2 2" xfId="306"/>
    <cellStyle name="40% - Accent1 2 2 2 2" xfId="307"/>
    <cellStyle name="40% - Accent1 2 2 2 2 2" xfId="308"/>
    <cellStyle name="40% - Accent1 2 2 2 3" xfId="309"/>
    <cellStyle name="40% - Accent1 2 2 3" xfId="310"/>
    <cellStyle name="40% - Accent1 2 2 3 2" xfId="311"/>
    <cellStyle name="40% - Accent1 2 2 3 2 2" xfId="312"/>
    <cellStyle name="40% - Accent1 2 2 3 3" xfId="313"/>
    <cellStyle name="40% - Accent1 2 2 4" xfId="314"/>
    <cellStyle name="40% - Accent1 2 2 4 2" xfId="315"/>
    <cellStyle name="40% - Accent1 2 2 5" xfId="316"/>
    <cellStyle name="40% - Accent1 2 3" xfId="317"/>
    <cellStyle name="40% - Accent1 2 3 2" xfId="318"/>
    <cellStyle name="40% - Accent1 2 3 2 2" xfId="319"/>
    <cellStyle name="40% - Accent1 2 3 3" xfId="320"/>
    <cellStyle name="40% - Accent1 2 4" xfId="321"/>
    <cellStyle name="40% - Accent1 2 4 2" xfId="322"/>
    <cellStyle name="40% - Accent1 2 4 2 2" xfId="323"/>
    <cellStyle name="40% - Accent1 2 4 3" xfId="324"/>
    <cellStyle name="40% - Accent1 2 5" xfId="325"/>
    <cellStyle name="40% - Accent1 2 5 2" xfId="326"/>
    <cellStyle name="40% - Accent1 2 6" xfId="327"/>
    <cellStyle name="40% - Accent1 2 7" xfId="1582"/>
    <cellStyle name="40% - Accent1 3" xfId="328"/>
    <cellStyle name="40% - Accent1 3 2" xfId="329"/>
    <cellStyle name="40% - Accent1 3 2 2" xfId="330"/>
    <cellStyle name="40% - Accent1 3 2 2 2" xfId="331"/>
    <cellStyle name="40% - Accent1 3 2 3" xfId="332"/>
    <cellStyle name="40% - Accent1 3 3" xfId="333"/>
    <cellStyle name="40% - Accent1 3 3 2" xfId="334"/>
    <cellStyle name="40% - Accent1 3 3 2 2" xfId="335"/>
    <cellStyle name="40% - Accent1 3 3 3" xfId="336"/>
    <cellStyle name="40% - Accent1 3 4" xfId="337"/>
    <cellStyle name="40% - Accent1 3 4 2" xfId="338"/>
    <cellStyle name="40% - Accent1 3 5" xfId="339"/>
    <cellStyle name="40% - Accent1 4" xfId="340"/>
    <cellStyle name="40% - Accent1 4 2" xfId="341"/>
    <cellStyle name="40% - Accent1 4 2 2" xfId="342"/>
    <cellStyle name="40% - Accent1 4 3" xfId="343"/>
    <cellStyle name="40% - Accent1 5" xfId="344"/>
    <cellStyle name="40% - Accent1 5 2" xfId="345"/>
    <cellStyle name="40% - Accent1 5 2 2" xfId="346"/>
    <cellStyle name="40% - Accent1 5 3" xfId="347"/>
    <cellStyle name="40% - Accent1 6" xfId="348"/>
    <cellStyle name="40% - Accent1 6 2" xfId="349"/>
    <cellStyle name="40% - Accent1 7" xfId="350"/>
    <cellStyle name="40% - Accent1 7 2" xfId="351"/>
    <cellStyle name="40% - Accent1 8" xfId="352"/>
    <cellStyle name="40% - Accent1 9" xfId="353"/>
    <cellStyle name="40% - Accent1 9 2" xfId="1499"/>
    <cellStyle name="40% - Accent2" xfId="1447" builtinId="35" customBuiltin="1"/>
    <cellStyle name="40% - Accent2 2" xfId="354"/>
    <cellStyle name="40% - Accent2 2 2" xfId="355"/>
    <cellStyle name="40% - Accent2 2 2 2" xfId="356"/>
    <cellStyle name="40% - Accent2 2 2 2 2" xfId="357"/>
    <cellStyle name="40% - Accent2 2 2 2 2 2" xfId="358"/>
    <cellStyle name="40% - Accent2 2 2 2 3" xfId="359"/>
    <cellStyle name="40% - Accent2 2 2 3" xfId="360"/>
    <cellStyle name="40% - Accent2 2 2 3 2" xfId="361"/>
    <cellStyle name="40% - Accent2 2 2 3 2 2" xfId="362"/>
    <cellStyle name="40% - Accent2 2 2 3 3" xfId="363"/>
    <cellStyle name="40% - Accent2 2 2 4" xfId="364"/>
    <cellStyle name="40% - Accent2 2 2 4 2" xfId="365"/>
    <cellStyle name="40% - Accent2 2 2 5" xfId="366"/>
    <cellStyle name="40% - Accent2 2 3" xfId="367"/>
    <cellStyle name="40% - Accent2 2 3 2" xfId="368"/>
    <cellStyle name="40% - Accent2 2 3 2 2" xfId="369"/>
    <cellStyle name="40% - Accent2 2 3 3" xfId="370"/>
    <cellStyle name="40% - Accent2 2 4" xfId="371"/>
    <cellStyle name="40% - Accent2 2 4 2" xfId="372"/>
    <cellStyle name="40% - Accent2 2 4 2 2" xfId="373"/>
    <cellStyle name="40% - Accent2 2 4 3" xfId="374"/>
    <cellStyle name="40% - Accent2 2 5" xfId="375"/>
    <cellStyle name="40% - Accent2 2 5 2" xfId="376"/>
    <cellStyle name="40% - Accent2 2 6" xfId="377"/>
    <cellStyle name="40% - Accent2 2 7" xfId="1583"/>
    <cellStyle name="40% - Accent2 3" xfId="378"/>
    <cellStyle name="40% - Accent2 3 2" xfId="379"/>
    <cellStyle name="40% - Accent2 3 2 2" xfId="380"/>
    <cellStyle name="40% - Accent2 3 2 2 2" xfId="381"/>
    <cellStyle name="40% - Accent2 3 2 3" xfId="382"/>
    <cellStyle name="40% - Accent2 3 3" xfId="383"/>
    <cellStyle name="40% - Accent2 3 3 2" xfId="384"/>
    <cellStyle name="40% - Accent2 3 3 2 2" xfId="385"/>
    <cellStyle name="40% - Accent2 3 3 3" xfId="386"/>
    <cellStyle name="40% - Accent2 3 4" xfId="387"/>
    <cellStyle name="40% - Accent2 3 4 2" xfId="388"/>
    <cellStyle name="40% - Accent2 3 5" xfId="389"/>
    <cellStyle name="40% - Accent2 4" xfId="390"/>
    <cellStyle name="40% - Accent2 4 2" xfId="391"/>
    <cellStyle name="40% - Accent2 4 2 2" xfId="392"/>
    <cellStyle name="40% - Accent2 4 3" xfId="393"/>
    <cellStyle name="40% - Accent2 5" xfId="394"/>
    <cellStyle name="40% - Accent2 5 2" xfId="395"/>
    <cellStyle name="40% - Accent2 5 2 2" xfId="396"/>
    <cellStyle name="40% - Accent2 5 3" xfId="397"/>
    <cellStyle name="40% - Accent2 6" xfId="398"/>
    <cellStyle name="40% - Accent2 6 2" xfId="399"/>
    <cellStyle name="40% - Accent2 7" xfId="400"/>
    <cellStyle name="40% - Accent2 7 2" xfId="401"/>
    <cellStyle name="40% - Accent2 8" xfId="402"/>
    <cellStyle name="40% - Accent2 9" xfId="403"/>
    <cellStyle name="40% - Accent2 9 2" xfId="1490"/>
    <cellStyle name="40% - Accent3" xfId="1451" builtinId="39" customBuiltin="1"/>
    <cellStyle name="40% - Accent3 2" xfId="404"/>
    <cellStyle name="40% - Accent3 2 2" xfId="405"/>
    <cellStyle name="40% - Accent3 2 2 2" xfId="406"/>
    <cellStyle name="40% - Accent3 2 2 2 2" xfId="407"/>
    <cellStyle name="40% - Accent3 2 2 2 2 2" xfId="408"/>
    <cellStyle name="40% - Accent3 2 2 2 3" xfId="409"/>
    <cellStyle name="40% - Accent3 2 2 3" xfId="410"/>
    <cellStyle name="40% - Accent3 2 2 3 2" xfId="411"/>
    <cellStyle name="40% - Accent3 2 2 3 2 2" xfId="412"/>
    <cellStyle name="40% - Accent3 2 2 3 3" xfId="413"/>
    <cellStyle name="40% - Accent3 2 2 4" xfId="414"/>
    <cellStyle name="40% - Accent3 2 2 4 2" xfId="415"/>
    <cellStyle name="40% - Accent3 2 2 5" xfId="416"/>
    <cellStyle name="40% - Accent3 2 3" xfId="417"/>
    <cellStyle name="40% - Accent3 2 3 2" xfId="418"/>
    <cellStyle name="40% - Accent3 2 3 2 2" xfId="419"/>
    <cellStyle name="40% - Accent3 2 3 3" xfId="420"/>
    <cellStyle name="40% - Accent3 2 4" xfId="421"/>
    <cellStyle name="40% - Accent3 2 4 2" xfId="422"/>
    <cellStyle name="40% - Accent3 2 4 2 2" xfId="423"/>
    <cellStyle name="40% - Accent3 2 4 3" xfId="424"/>
    <cellStyle name="40% - Accent3 2 5" xfId="425"/>
    <cellStyle name="40% - Accent3 2 5 2" xfId="426"/>
    <cellStyle name="40% - Accent3 2 6" xfId="427"/>
    <cellStyle name="40% - Accent3 2 7" xfId="1584"/>
    <cellStyle name="40% - Accent3 3" xfId="428"/>
    <cellStyle name="40% - Accent3 3 2" xfId="429"/>
    <cellStyle name="40% - Accent3 3 2 2" xfId="430"/>
    <cellStyle name="40% - Accent3 3 2 2 2" xfId="431"/>
    <cellStyle name="40% - Accent3 3 2 3" xfId="432"/>
    <cellStyle name="40% - Accent3 3 3" xfId="433"/>
    <cellStyle name="40% - Accent3 3 3 2" xfId="434"/>
    <cellStyle name="40% - Accent3 3 3 2 2" xfId="435"/>
    <cellStyle name="40% - Accent3 3 3 3" xfId="436"/>
    <cellStyle name="40% - Accent3 3 4" xfId="437"/>
    <cellStyle name="40% - Accent3 3 4 2" xfId="438"/>
    <cellStyle name="40% - Accent3 3 5" xfId="439"/>
    <cellStyle name="40% - Accent3 4" xfId="440"/>
    <cellStyle name="40% - Accent3 4 2" xfId="441"/>
    <cellStyle name="40% - Accent3 4 2 2" xfId="442"/>
    <cellStyle name="40% - Accent3 4 3" xfId="443"/>
    <cellStyle name="40% - Accent3 5" xfId="444"/>
    <cellStyle name="40% - Accent3 5 2" xfId="445"/>
    <cellStyle name="40% - Accent3 5 2 2" xfId="446"/>
    <cellStyle name="40% - Accent3 5 3" xfId="447"/>
    <cellStyle name="40% - Accent3 6" xfId="448"/>
    <cellStyle name="40% - Accent3 6 2" xfId="449"/>
    <cellStyle name="40% - Accent3 7" xfId="450"/>
    <cellStyle name="40% - Accent3 7 2" xfId="451"/>
    <cellStyle name="40% - Accent3 8" xfId="452"/>
    <cellStyle name="40% - Accent3 9" xfId="453"/>
    <cellStyle name="40% - Accent3 9 2" xfId="1488"/>
    <cellStyle name="40% - Accent4" xfId="1455" builtinId="43" customBuiltin="1"/>
    <cellStyle name="40% - Accent4 2" xfId="454"/>
    <cellStyle name="40% - Accent4 2 2" xfId="455"/>
    <cellStyle name="40% - Accent4 2 2 2" xfId="456"/>
    <cellStyle name="40% - Accent4 2 2 2 2" xfId="457"/>
    <cellStyle name="40% - Accent4 2 2 2 2 2" xfId="458"/>
    <cellStyle name="40% - Accent4 2 2 2 3" xfId="459"/>
    <cellStyle name="40% - Accent4 2 2 3" xfId="460"/>
    <cellStyle name="40% - Accent4 2 2 3 2" xfId="461"/>
    <cellStyle name="40% - Accent4 2 2 3 2 2" xfId="462"/>
    <cellStyle name="40% - Accent4 2 2 3 3" xfId="463"/>
    <cellStyle name="40% - Accent4 2 2 4" xfId="464"/>
    <cellStyle name="40% - Accent4 2 2 4 2" xfId="465"/>
    <cellStyle name="40% - Accent4 2 2 5" xfId="466"/>
    <cellStyle name="40% - Accent4 2 3" xfId="467"/>
    <cellStyle name="40% - Accent4 2 3 2" xfId="468"/>
    <cellStyle name="40% - Accent4 2 3 2 2" xfId="469"/>
    <cellStyle name="40% - Accent4 2 3 3" xfId="470"/>
    <cellStyle name="40% - Accent4 2 4" xfId="471"/>
    <cellStyle name="40% - Accent4 2 4 2" xfId="472"/>
    <cellStyle name="40% - Accent4 2 4 2 2" xfId="473"/>
    <cellStyle name="40% - Accent4 2 4 3" xfId="474"/>
    <cellStyle name="40% - Accent4 2 5" xfId="475"/>
    <cellStyle name="40% - Accent4 2 5 2" xfId="476"/>
    <cellStyle name="40% - Accent4 2 6" xfId="477"/>
    <cellStyle name="40% - Accent4 2 7" xfId="1585"/>
    <cellStyle name="40% - Accent4 3" xfId="478"/>
    <cellStyle name="40% - Accent4 3 2" xfId="479"/>
    <cellStyle name="40% - Accent4 3 2 2" xfId="480"/>
    <cellStyle name="40% - Accent4 3 2 2 2" xfId="481"/>
    <cellStyle name="40% - Accent4 3 2 3" xfId="482"/>
    <cellStyle name="40% - Accent4 3 3" xfId="483"/>
    <cellStyle name="40% - Accent4 3 3 2" xfId="484"/>
    <cellStyle name="40% - Accent4 3 3 2 2" xfId="485"/>
    <cellStyle name="40% - Accent4 3 3 3" xfId="486"/>
    <cellStyle name="40% - Accent4 3 4" xfId="487"/>
    <cellStyle name="40% - Accent4 3 4 2" xfId="488"/>
    <cellStyle name="40% - Accent4 3 5" xfId="489"/>
    <cellStyle name="40% - Accent4 4" xfId="490"/>
    <cellStyle name="40% - Accent4 4 2" xfId="491"/>
    <cellStyle name="40% - Accent4 4 2 2" xfId="492"/>
    <cellStyle name="40% - Accent4 4 3" xfId="493"/>
    <cellStyle name="40% - Accent4 5" xfId="494"/>
    <cellStyle name="40% - Accent4 5 2" xfId="495"/>
    <cellStyle name="40% - Accent4 5 2 2" xfId="496"/>
    <cellStyle name="40% - Accent4 5 3" xfId="497"/>
    <cellStyle name="40% - Accent4 6" xfId="498"/>
    <cellStyle name="40% - Accent4 6 2" xfId="499"/>
    <cellStyle name="40% - Accent4 7" xfId="500"/>
    <cellStyle name="40% - Accent4 7 2" xfId="501"/>
    <cellStyle name="40% - Accent4 8" xfId="502"/>
    <cellStyle name="40% - Accent4 9" xfId="503"/>
    <cellStyle name="40% - Accent4 9 2" xfId="1566"/>
    <cellStyle name="40% - Accent5" xfId="1459" builtinId="47" customBuiltin="1"/>
    <cellStyle name="40% - Accent5 2" xfId="504"/>
    <cellStyle name="40% - Accent5 2 2" xfId="505"/>
    <cellStyle name="40% - Accent5 2 2 2" xfId="506"/>
    <cellStyle name="40% - Accent5 2 2 2 2" xfId="507"/>
    <cellStyle name="40% - Accent5 2 2 2 2 2" xfId="508"/>
    <cellStyle name="40% - Accent5 2 2 2 3" xfId="509"/>
    <cellStyle name="40% - Accent5 2 2 3" xfId="510"/>
    <cellStyle name="40% - Accent5 2 2 3 2" xfId="511"/>
    <cellStyle name="40% - Accent5 2 2 3 2 2" xfId="512"/>
    <cellStyle name="40% - Accent5 2 2 3 3" xfId="513"/>
    <cellStyle name="40% - Accent5 2 2 4" xfId="514"/>
    <cellStyle name="40% - Accent5 2 2 4 2" xfId="515"/>
    <cellStyle name="40% - Accent5 2 2 5" xfId="516"/>
    <cellStyle name="40% - Accent5 2 3" xfId="517"/>
    <cellStyle name="40% - Accent5 2 3 2" xfId="518"/>
    <cellStyle name="40% - Accent5 2 3 2 2" xfId="519"/>
    <cellStyle name="40% - Accent5 2 3 3" xfId="520"/>
    <cellStyle name="40% - Accent5 2 4" xfId="521"/>
    <cellStyle name="40% - Accent5 2 4 2" xfId="522"/>
    <cellStyle name="40% - Accent5 2 4 2 2" xfId="523"/>
    <cellStyle name="40% - Accent5 2 4 3" xfId="524"/>
    <cellStyle name="40% - Accent5 2 5" xfId="525"/>
    <cellStyle name="40% - Accent5 2 5 2" xfId="526"/>
    <cellStyle name="40% - Accent5 2 6" xfId="527"/>
    <cellStyle name="40% - Accent5 2 7" xfId="1586"/>
    <cellStyle name="40% - Accent5 3" xfId="528"/>
    <cellStyle name="40% - Accent5 3 2" xfId="529"/>
    <cellStyle name="40% - Accent5 3 2 2" xfId="530"/>
    <cellStyle name="40% - Accent5 3 2 2 2" xfId="531"/>
    <cellStyle name="40% - Accent5 3 2 3" xfId="532"/>
    <cellStyle name="40% - Accent5 3 3" xfId="533"/>
    <cellStyle name="40% - Accent5 3 3 2" xfId="534"/>
    <cellStyle name="40% - Accent5 3 3 2 2" xfId="535"/>
    <cellStyle name="40% - Accent5 3 3 3" xfId="536"/>
    <cellStyle name="40% - Accent5 3 4" xfId="537"/>
    <cellStyle name="40% - Accent5 3 4 2" xfId="538"/>
    <cellStyle name="40% - Accent5 3 5" xfId="539"/>
    <cellStyle name="40% - Accent5 4" xfId="540"/>
    <cellStyle name="40% - Accent5 4 2" xfId="541"/>
    <cellStyle name="40% - Accent5 4 2 2" xfId="542"/>
    <cellStyle name="40% - Accent5 4 3" xfId="543"/>
    <cellStyle name="40% - Accent5 5" xfId="544"/>
    <cellStyle name="40% - Accent5 5 2" xfId="545"/>
    <cellStyle name="40% - Accent5 5 2 2" xfId="546"/>
    <cellStyle name="40% - Accent5 5 3" xfId="547"/>
    <cellStyle name="40% - Accent5 6" xfId="548"/>
    <cellStyle name="40% - Accent5 6 2" xfId="549"/>
    <cellStyle name="40% - Accent5 7" xfId="550"/>
    <cellStyle name="40% - Accent5 7 2" xfId="551"/>
    <cellStyle name="40% - Accent5 8" xfId="552"/>
    <cellStyle name="40% - Accent5 9" xfId="553"/>
    <cellStyle name="40% - Accent5 9 2" xfId="1484"/>
    <cellStyle name="40% - Accent6" xfId="1463" builtinId="51" customBuiltin="1"/>
    <cellStyle name="40% - Accent6 2" xfId="554"/>
    <cellStyle name="40% - Accent6 2 2" xfId="555"/>
    <cellStyle name="40% - Accent6 2 2 2" xfId="556"/>
    <cellStyle name="40% - Accent6 2 2 2 2" xfId="557"/>
    <cellStyle name="40% - Accent6 2 2 2 2 2" xfId="558"/>
    <cellStyle name="40% - Accent6 2 2 2 3" xfId="559"/>
    <cellStyle name="40% - Accent6 2 2 3" xfId="560"/>
    <cellStyle name="40% - Accent6 2 2 3 2" xfId="561"/>
    <cellStyle name="40% - Accent6 2 2 3 2 2" xfId="562"/>
    <cellStyle name="40% - Accent6 2 2 3 3" xfId="563"/>
    <cellStyle name="40% - Accent6 2 2 4" xfId="564"/>
    <cellStyle name="40% - Accent6 2 2 4 2" xfId="565"/>
    <cellStyle name="40% - Accent6 2 2 5" xfId="566"/>
    <cellStyle name="40% - Accent6 2 3" xfId="567"/>
    <cellStyle name="40% - Accent6 2 3 2" xfId="568"/>
    <cellStyle name="40% - Accent6 2 3 2 2" xfId="569"/>
    <cellStyle name="40% - Accent6 2 3 3" xfId="570"/>
    <cellStyle name="40% - Accent6 2 4" xfId="571"/>
    <cellStyle name="40% - Accent6 2 4 2" xfId="572"/>
    <cellStyle name="40% - Accent6 2 4 2 2" xfId="573"/>
    <cellStyle name="40% - Accent6 2 4 3" xfId="574"/>
    <cellStyle name="40% - Accent6 2 5" xfId="575"/>
    <cellStyle name="40% - Accent6 2 5 2" xfId="576"/>
    <cellStyle name="40% - Accent6 2 6" xfId="577"/>
    <cellStyle name="40% - Accent6 2 7" xfId="1587"/>
    <cellStyle name="40% - Accent6 3" xfId="578"/>
    <cellStyle name="40% - Accent6 3 2" xfId="579"/>
    <cellStyle name="40% - Accent6 3 2 2" xfId="580"/>
    <cellStyle name="40% - Accent6 3 2 2 2" xfId="581"/>
    <cellStyle name="40% - Accent6 3 2 3" xfId="582"/>
    <cellStyle name="40% - Accent6 3 3" xfId="583"/>
    <cellStyle name="40% - Accent6 3 3 2" xfId="584"/>
    <cellStyle name="40% - Accent6 3 3 2 2" xfId="585"/>
    <cellStyle name="40% - Accent6 3 3 3" xfId="586"/>
    <cellStyle name="40% - Accent6 3 4" xfId="587"/>
    <cellStyle name="40% - Accent6 3 4 2" xfId="588"/>
    <cellStyle name="40% - Accent6 3 5" xfId="589"/>
    <cellStyle name="40% - Accent6 4" xfId="590"/>
    <cellStyle name="40% - Accent6 4 2" xfId="591"/>
    <cellStyle name="40% - Accent6 4 2 2" xfId="592"/>
    <cellStyle name="40% - Accent6 4 3" xfId="593"/>
    <cellStyle name="40% - Accent6 5" xfId="594"/>
    <cellStyle name="40% - Accent6 5 2" xfId="595"/>
    <cellStyle name="40% - Accent6 5 2 2" xfId="596"/>
    <cellStyle name="40% - Accent6 5 3" xfId="597"/>
    <cellStyle name="40% - Accent6 6" xfId="598"/>
    <cellStyle name="40% - Accent6 6 2" xfId="599"/>
    <cellStyle name="40% - Accent6 7" xfId="600"/>
    <cellStyle name="40% - Accent6 7 2" xfId="601"/>
    <cellStyle name="40% - Accent6 8" xfId="602"/>
    <cellStyle name="40% - Accent6 9" xfId="603"/>
    <cellStyle name="40% - Accent6 9 2" xfId="1550"/>
    <cellStyle name="60% - Accent1" xfId="1444" builtinId="32" customBuiltin="1"/>
    <cellStyle name="60% - Accent1 2" xfId="1524"/>
    <cellStyle name="60% - Accent1 2 2" xfId="1588"/>
    <cellStyle name="60% - Accent1 3" xfId="1517"/>
    <cellStyle name="60% - Accent2" xfId="1448" builtinId="36" customBuiltin="1"/>
    <cellStyle name="60% - Accent2 2" xfId="1536"/>
    <cellStyle name="60% - Accent2 2 2" xfId="1589"/>
    <cellStyle name="60% - Accent2 3" xfId="1526"/>
    <cellStyle name="60% - Accent3" xfId="1452" builtinId="40" customBuiltin="1"/>
    <cellStyle name="60% - Accent3 2" xfId="1518"/>
    <cellStyle name="60% - Accent3 2 2" xfId="1590"/>
    <cellStyle name="60% - Accent3 3" xfId="1561"/>
    <cellStyle name="60% - Accent4" xfId="1456" builtinId="44" customBuiltin="1"/>
    <cellStyle name="60% - Accent4 2" xfId="1529"/>
    <cellStyle name="60% - Accent4 2 2" xfId="1591"/>
    <cellStyle name="60% - Accent4 3" xfId="1562"/>
    <cellStyle name="60% - Accent5" xfId="1460" builtinId="48" customBuiltin="1"/>
    <cellStyle name="60% - Accent5 2" xfId="1538"/>
    <cellStyle name="60% - Accent5 2 2" xfId="1592"/>
    <cellStyle name="60% - Accent5 3" xfId="1486"/>
    <cellStyle name="60% - Accent6" xfId="1464" builtinId="52" customBuiltin="1"/>
    <cellStyle name="60% - Accent6 2" xfId="1505"/>
    <cellStyle name="60% - Accent6 2 2" xfId="1593"/>
    <cellStyle name="60% - Accent6 3" xfId="1525"/>
    <cellStyle name="Accent1" xfId="1441" builtinId="29" customBuiltin="1"/>
    <cellStyle name="Accent1 2" xfId="1527"/>
    <cellStyle name="Accent1 2 2" xfId="1594"/>
    <cellStyle name="Accent1 3" xfId="1528"/>
    <cellStyle name="Accent2" xfId="1445" builtinId="33" customBuiltin="1"/>
    <cellStyle name="Accent2 2" xfId="1497"/>
    <cellStyle name="Accent2 2 2" xfId="1595"/>
    <cellStyle name="Accent2 3" xfId="1563"/>
    <cellStyle name="Accent3" xfId="1449" builtinId="37" customBuiltin="1"/>
    <cellStyle name="Accent3 2" xfId="1556"/>
    <cellStyle name="Accent3 2 2" xfId="1596"/>
    <cellStyle name="Accent3 3" xfId="1501"/>
    <cellStyle name="Accent4" xfId="1453" builtinId="41" customBuiltin="1"/>
    <cellStyle name="Accent4 2" xfId="1548"/>
    <cellStyle name="Accent4 2 2" xfId="1597"/>
    <cellStyle name="Accent4 3" xfId="1482"/>
    <cellStyle name="Accent5" xfId="1457" builtinId="45" customBuiltin="1"/>
    <cellStyle name="Accent5 2" xfId="1555"/>
    <cellStyle name="Accent5 2 2" xfId="1598"/>
    <cellStyle name="Accent5 3" xfId="1506"/>
    <cellStyle name="Accent6" xfId="1461" builtinId="49" customBuiltin="1"/>
    <cellStyle name="Accent6 2" xfId="1481"/>
    <cellStyle name="Accent6 2 2" xfId="1599"/>
    <cellStyle name="Accent6 3" xfId="1508"/>
    <cellStyle name="arial mt" xfId="1600"/>
    <cellStyle name="Bad" xfId="1431" builtinId="27" customBuiltin="1"/>
    <cellStyle name="Bad 2" xfId="1552"/>
    <cellStyle name="Bad 2 2" xfId="1601"/>
    <cellStyle name="Bad 3" xfId="1564"/>
    <cellStyle name="Bottom bold border" xfId="1602"/>
    <cellStyle name="Bottom single border" xfId="1603"/>
    <cellStyle name="Calculation" xfId="1435" builtinId="22" customBuiltin="1"/>
    <cellStyle name="Calculation 2" xfId="1483"/>
    <cellStyle name="Calculation 2 2" xfId="1604"/>
    <cellStyle name="Calculation 3" xfId="1530"/>
    <cellStyle name="Check Cell" xfId="1437" builtinId="23" customBuiltin="1"/>
    <cellStyle name="Check Cell 2" xfId="1467"/>
    <cellStyle name="Check Cell 2 2" xfId="1605"/>
    <cellStyle name="Check Cell 3" xfId="1489"/>
    <cellStyle name="Comma" xfId="1" builtinId="3"/>
    <cellStyle name="Comma 10" xfId="604"/>
    <cellStyle name="Comma 10 2" xfId="605"/>
    <cellStyle name="Comma 11" xfId="606"/>
    <cellStyle name="Comma 11 2" xfId="607"/>
    <cellStyle name="Comma 11 2 2" xfId="608"/>
    <cellStyle name="Comma 12" xfId="609"/>
    <cellStyle name="Comma 12 2" xfId="610"/>
    <cellStyle name="Comma 12 3" xfId="611"/>
    <cellStyle name="Comma 12 3 2" xfId="612"/>
    <cellStyle name="Comma 12 4" xfId="613"/>
    <cellStyle name="Comma 13" xfId="614"/>
    <cellStyle name="Comma 13 2" xfId="615"/>
    <cellStyle name="Comma 14" xfId="616"/>
    <cellStyle name="Comma 14 2" xfId="617"/>
    <cellStyle name="Comma 15" xfId="618"/>
    <cellStyle name="Comma 15 2" xfId="619"/>
    <cellStyle name="Comma 2" xfId="620"/>
    <cellStyle name="Comma 2 2" xfId="621"/>
    <cellStyle name="Comma 2 2 2" xfId="622"/>
    <cellStyle name="Comma 2 2 2 2" xfId="623"/>
    <cellStyle name="Comma 2 2 2 2 2" xfId="624"/>
    <cellStyle name="Comma 2 2 2 2 2 2" xfId="625"/>
    <cellStyle name="Comma 2 2 2 2 3" xfId="626"/>
    <cellStyle name="Comma 2 2 2 3" xfId="627"/>
    <cellStyle name="Comma 2 2 2 4" xfId="628"/>
    <cellStyle name="Comma 2 2 2 4 2" xfId="629"/>
    <cellStyle name="Comma 2 2 2 5" xfId="630"/>
    <cellStyle name="Comma 2 2 3" xfId="631"/>
    <cellStyle name="Comma 2 2 4" xfId="632"/>
    <cellStyle name="Comma 2 2 4 2" xfId="633"/>
    <cellStyle name="Comma 2 2 4 2 2" xfId="634"/>
    <cellStyle name="Comma 2 2 4 3" xfId="635"/>
    <cellStyle name="Comma 2 2 5" xfId="636"/>
    <cellStyle name="Comma 2 2 5 2" xfId="637"/>
    <cellStyle name="Comma 2 2 5 2 2" xfId="638"/>
    <cellStyle name="Comma 2 2 5 3" xfId="639"/>
    <cellStyle name="Comma 2 2 6" xfId="640"/>
    <cellStyle name="Comma 2 2 6 2" xfId="641"/>
    <cellStyle name="Comma 2 2 7" xfId="642"/>
    <cellStyle name="Comma 2 2 8" xfId="1474"/>
    <cellStyle name="Comma 2 3" xfId="643"/>
    <cellStyle name="Comma 2 3 2" xfId="644"/>
    <cellStyle name="Comma 2 3 3" xfId="1478"/>
    <cellStyle name="Comma 2 3 4" xfId="1607"/>
    <cellStyle name="Comma 2 4" xfId="645"/>
    <cellStyle name="Comma 2 4 2" xfId="1541"/>
    <cellStyle name="Comma 2 4 3" xfId="1608"/>
    <cellStyle name="Comma 2 5" xfId="646"/>
    <cellStyle name="Comma 2 5 2" xfId="647"/>
    <cellStyle name="Comma 2 5 2 2" xfId="648"/>
    <cellStyle name="Comma 2 5 3" xfId="649"/>
    <cellStyle name="Comma 2 5 4" xfId="1542"/>
    <cellStyle name="Comma 2 6" xfId="650"/>
    <cellStyle name="Comma 2 7" xfId="1606"/>
    <cellStyle name="Comma 2_FWBgen2010val" xfId="1609"/>
    <cellStyle name="Comma 3" xfId="651"/>
    <cellStyle name="Comma 3 2" xfId="652"/>
    <cellStyle name="Comma 3 2 2" xfId="1491"/>
    <cellStyle name="Comma 3 2 2 2" xfId="1612"/>
    <cellStyle name="Comma 3 2 3" xfId="1611"/>
    <cellStyle name="Comma 3 3" xfId="653"/>
    <cellStyle name="Comma 3 3 2" xfId="654"/>
    <cellStyle name="Comma 3 3 2 2" xfId="1573"/>
    <cellStyle name="Comma 3 3 2 3" xfId="1543"/>
    <cellStyle name="Comma 3 3 3" xfId="1567"/>
    <cellStyle name="Comma 3 4" xfId="1558"/>
    <cellStyle name="Comma 3 5" xfId="1610"/>
    <cellStyle name="Comma 4" xfId="655"/>
    <cellStyle name="Comma 4 2" xfId="656"/>
    <cellStyle name="Comma 4 2 2" xfId="657"/>
    <cellStyle name="Comma 4 2 2 2" xfId="658"/>
    <cellStyle name="Comma 4 2 3" xfId="659"/>
    <cellStyle name="Comma 4 2 4" xfId="1613"/>
    <cellStyle name="Comma 4 3" xfId="660"/>
    <cellStyle name="Comma 4 4" xfId="661"/>
    <cellStyle name="Comma 4 4 2" xfId="662"/>
    <cellStyle name="Comma 4 4 3" xfId="1568"/>
    <cellStyle name="Comma 5" xfId="663"/>
    <cellStyle name="Comma 5 2" xfId="664"/>
    <cellStyle name="Comma 5 2 2" xfId="665"/>
    <cellStyle name="Comma 5 2 2 2" xfId="666"/>
    <cellStyle name="Comma 5 2 2 2 2" xfId="667"/>
    <cellStyle name="Comma 5 2 2 2 2 2" xfId="668"/>
    <cellStyle name="Comma 5 2 2 2 2 2 2" xfId="669"/>
    <cellStyle name="Comma 5 2 2 2 2 3" xfId="670"/>
    <cellStyle name="Comma 5 2 2 2 3" xfId="671"/>
    <cellStyle name="Comma 5 2 2 2 3 2" xfId="672"/>
    <cellStyle name="Comma 5 2 2 2 3 2 2" xfId="673"/>
    <cellStyle name="Comma 5 2 2 2 3 3" xfId="674"/>
    <cellStyle name="Comma 5 2 2 2 4" xfId="675"/>
    <cellStyle name="Comma 5 2 2 2 4 2" xfId="676"/>
    <cellStyle name="Comma 5 2 2 2 5" xfId="677"/>
    <cellStyle name="Comma 5 2 2 3" xfId="678"/>
    <cellStyle name="Comma 5 2 2 3 2" xfId="679"/>
    <cellStyle name="Comma 5 2 2 3 2 2" xfId="680"/>
    <cellStyle name="Comma 5 2 2 3 3" xfId="681"/>
    <cellStyle name="Comma 5 2 2 4" xfId="682"/>
    <cellStyle name="Comma 5 2 2 4 2" xfId="683"/>
    <cellStyle name="Comma 5 2 2 4 2 2" xfId="684"/>
    <cellStyle name="Comma 5 2 2 4 3" xfId="685"/>
    <cellStyle name="Comma 5 2 2 5" xfId="686"/>
    <cellStyle name="Comma 5 2 2 5 2" xfId="687"/>
    <cellStyle name="Comma 5 2 2 6" xfId="688"/>
    <cellStyle name="Comma 5 2 3" xfId="689"/>
    <cellStyle name="Comma 5 2 3 2" xfId="690"/>
    <cellStyle name="Comma 5 2 3 2 2" xfId="691"/>
    <cellStyle name="Comma 5 2 3 2 2 2" xfId="692"/>
    <cellStyle name="Comma 5 2 3 2 3" xfId="693"/>
    <cellStyle name="Comma 5 2 3 3" xfId="694"/>
    <cellStyle name="Comma 5 2 3 3 2" xfId="695"/>
    <cellStyle name="Comma 5 2 3 3 2 2" xfId="696"/>
    <cellStyle name="Comma 5 2 3 3 3" xfId="697"/>
    <cellStyle name="Comma 5 2 3 4" xfId="698"/>
    <cellStyle name="Comma 5 2 3 4 2" xfId="699"/>
    <cellStyle name="Comma 5 2 3 5" xfId="700"/>
    <cellStyle name="Comma 5 2 4" xfId="701"/>
    <cellStyle name="Comma 5 2 4 2" xfId="702"/>
    <cellStyle name="Comma 5 2 4 2 2" xfId="703"/>
    <cellStyle name="Comma 5 2 4 3" xfId="704"/>
    <cellStyle name="Comma 5 2 5" xfId="705"/>
    <cellStyle name="Comma 5 2 5 2" xfId="706"/>
    <cellStyle name="Comma 5 2 5 2 2" xfId="707"/>
    <cellStyle name="Comma 5 2 5 3" xfId="708"/>
    <cellStyle name="Comma 5 2 6" xfId="709"/>
    <cellStyle name="Comma 5 2 6 2" xfId="710"/>
    <cellStyle name="Comma 5 2 7" xfId="711"/>
    <cellStyle name="Comma 5 3" xfId="712"/>
    <cellStyle name="Comma 5 3 2" xfId="713"/>
    <cellStyle name="Comma 5 3 2 2" xfId="714"/>
    <cellStyle name="Comma 5 3 2 2 2" xfId="715"/>
    <cellStyle name="Comma 5 3 2 2 2 2" xfId="716"/>
    <cellStyle name="Comma 5 3 2 2 3" xfId="717"/>
    <cellStyle name="Comma 5 3 2 3" xfId="718"/>
    <cellStyle name="Comma 5 3 2 3 2" xfId="719"/>
    <cellStyle name="Comma 5 3 2 3 2 2" xfId="720"/>
    <cellStyle name="Comma 5 3 2 3 3" xfId="721"/>
    <cellStyle name="Comma 5 3 2 4" xfId="722"/>
    <cellStyle name="Comma 5 3 2 4 2" xfId="723"/>
    <cellStyle name="Comma 5 3 2 5" xfId="724"/>
    <cellStyle name="Comma 5 3 3" xfId="725"/>
    <cellStyle name="Comma 5 3 3 2" xfId="726"/>
    <cellStyle name="Comma 5 3 3 2 2" xfId="727"/>
    <cellStyle name="Comma 5 3 3 3" xfId="728"/>
    <cellStyle name="Comma 5 3 4" xfId="729"/>
    <cellStyle name="Comma 5 3 4 2" xfId="730"/>
    <cellStyle name="Comma 5 3 4 2 2" xfId="731"/>
    <cellStyle name="Comma 5 3 4 3" xfId="732"/>
    <cellStyle name="Comma 5 3 5" xfId="733"/>
    <cellStyle name="Comma 5 3 5 2" xfId="734"/>
    <cellStyle name="Comma 5 3 6" xfId="735"/>
    <cellStyle name="Comma 5 4" xfId="736"/>
    <cellStyle name="Comma 5 4 2" xfId="737"/>
    <cellStyle name="Comma 5 4 2 2" xfId="738"/>
    <cellStyle name="Comma 5 4 2 2 2" xfId="739"/>
    <cellStyle name="Comma 5 4 2 2 2 2" xfId="740"/>
    <cellStyle name="Comma 5 4 2 2 3" xfId="741"/>
    <cellStyle name="Comma 5 4 2 3" xfId="742"/>
    <cellStyle name="Comma 5 4 2 3 2" xfId="743"/>
    <cellStyle name="Comma 5 4 2 4" xfId="744"/>
    <cellStyle name="Comma 5 4 3" xfId="745"/>
    <cellStyle name="Comma 5 4 3 2" xfId="746"/>
    <cellStyle name="Comma 5 4 3 2 2" xfId="747"/>
    <cellStyle name="Comma 5 4 3 3" xfId="748"/>
    <cellStyle name="Comma 5 4 4" xfId="749"/>
    <cellStyle name="Comma 5 4 4 2" xfId="750"/>
    <cellStyle name="Comma 5 4 5" xfId="751"/>
    <cellStyle name="Comma 5 5" xfId="752"/>
    <cellStyle name="Comma 5 5 2" xfId="753"/>
    <cellStyle name="Comma 5 5 2 2" xfId="754"/>
    <cellStyle name="Comma 5 5 3" xfId="755"/>
    <cellStyle name="Comma 5 6" xfId="756"/>
    <cellStyle name="Comma 5 6 2" xfId="757"/>
    <cellStyle name="Comma 5 6 2 2" xfId="758"/>
    <cellStyle name="Comma 5 6 3" xfId="759"/>
    <cellStyle name="Comma 5 7" xfId="760"/>
    <cellStyle name="Comma 5 7 2" xfId="1569"/>
    <cellStyle name="Comma 5 7 3" xfId="1477"/>
    <cellStyle name="Comma 6" xfId="761"/>
    <cellStyle name="Comma 6 2" xfId="762"/>
    <cellStyle name="Comma 6 2 2" xfId="763"/>
    <cellStyle name="Comma 6 2 2 2" xfId="764"/>
    <cellStyle name="Comma 6 2 2 2 2" xfId="765"/>
    <cellStyle name="Comma 6 2 2 2 2 2" xfId="766"/>
    <cellStyle name="Comma 6 2 2 2 2 2 2" xfId="767"/>
    <cellStyle name="Comma 6 2 2 2 2 3" xfId="768"/>
    <cellStyle name="Comma 6 2 2 2 3" xfId="769"/>
    <cellStyle name="Comma 6 2 2 2 3 2" xfId="770"/>
    <cellStyle name="Comma 6 2 2 2 4" xfId="771"/>
    <cellStyle name="Comma 6 2 2 3" xfId="772"/>
    <cellStyle name="Comma 6 2 2 3 2" xfId="773"/>
    <cellStyle name="Comma 6 2 2 3 2 2" xfId="774"/>
    <cellStyle name="Comma 6 2 2 3 3" xfId="775"/>
    <cellStyle name="Comma 6 2 2 4" xfId="776"/>
    <cellStyle name="Comma 6 2 2 4 2" xfId="777"/>
    <cellStyle name="Comma 6 2 2 5" xfId="778"/>
    <cellStyle name="Comma 6 2 3" xfId="779"/>
    <cellStyle name="Comma 6 2 3 2" xfId="780"/>
    <cellStyle name="Comma 6 2 3 2 2" xfId="781"/>
    <cellStyle name="Comma 6 2 3 2 2 2" xfId="782"/>
    <cellStyle name="Comma 6 2 3 2 3" xfId="783"/>
    <cellStyle name="Comma 6 2 3 3" xfId="784"/>
    <cellStyle name="Comma 6 2 3 3 2" xfId="785"/>
    <cellStyle name="Comma 6 2 3 4" xfId="786"/>
    <cellStyle name="Comma 6 2 4" xfId="787"/>
    <cellStyle name="Comma 6 2 4 2" xfId="788"/>
    <cellStyle name="Comma 6 2 4 2 2" xfId="789"/>
    <cellStyle name="Comma 6 2 4 3" xfId="790"/>
    <cellStyle name="Comma 6 2 5" xfId="791"/>
    <cellStyle name="Comma 6 2 5 2" xfId="792"/>
    <cellStyle name="Comma 6 2 6" xfId="793"/>
    <cellStyle name="Comma 6 2 7" xfId="1494"/>
    <cellStyle name="Comma 6 3" xfId="794"/>
    <cellStyle name="Comma 6 3 2" xfId="795"/>
    <cellStyle name="Comma 6 3 2 2" xfId="796"/>
    <cellStyle name="Comma 6 3 2 2 2" xfId="797"/>
    <cellStyle name="Comma 6 3 2 2 2 2" xfId="798"/>
    <cellStyle name="Comma 6 3 2 2 3" xfId="799"/>
    <cellStyle name="Comma 6 3 2 3" xfId="800"/>
    <cellStyle name="Comma 6 3 2 3 2" xfId="801"/>
    <cellStyle name="Comma 6 3 2 4" xfId="802"/>
    <cellStyle name="Comma 6 3 3" xfId="803"/>
    <cellStyle name="Comma 6 3 3 2" xfId="804"/>
    <cellStyle name="Comma 6 3 3 2 2" xfId="805"/>
    <cellStyle name="Comma 6 3 3 3" xfId="806"/>
    <cellStyle name="Comma 6 3 4" xfId="807"/>
    <cellStyle name="Comma 6 3 4 2" xfId="808"/>
    <cellStyle name="Comma 6 3 5" xfId="809"/>
    <cellStyle name="Comma 6 4" xfId="810"/>
    <cellStyle name="Comma 6 4 2" xfId="811"/>
    <cellStyle name="Comma 6 4 2 2" xfId="812"/>
    <cellStyle name="Comma 6 4 2 2 2" xfId="813"/>
    <cellStyle name="Comma 6 4 2 3" xfId="814"/>
    <cellStyle name="Comma 6 4 3" xfId="815"/>
    <cellStyle name="Comma 6 4 3 2" xfId="816"/>
    <cellStyle name="Comma 6 4 4" xfId="817"/>
    <cellStyle name="Comma 6 5" xfId="818"/>
    <cellStyle name="Comma 6 5 2" xfId="819"/>
    <cellStyle name="Comma 6 5 2 2" xfId="820"/>
    <cellStyle name="Comma 6 5 3" xfId="821"/>
    <cellStyle name="Comma 6 6" xfId="822"/>
    <cellStyle name="Comma 6 6 2" xfId="823"/>
    <cellStyle name="Comma 6 7" xfId="824"/>
    <cellStyle name="Comma 6 8" xfId="1516"/>
    <cellStyle name="Comma 7" xfId="825"/>
    <cellStyle name="Comma 7 2" xfId="826"/>
    <cellStyle name="Comma 8" xfId="827"/>
    <cellStyle name="Comma 8 2" xfId="828"/>
    <cellStyle name="Comma 8 2 2" xfId="829"/>
    <cellStyle name="Comma 8 2 2 2" xfId="1570"/>
    <cellStyle name="Comma 8 2 2 3" xfId="1473"/>
    <cellStyle name="Comma 8 3" xfId="830"/>
    <cellStyle name="Comma 8 3 2" xfId="831"/>
    <cellStyle name="Comma 8 3 2 2" xfId="832"/>
    <cellStyle name="Comma 8 3 3" xfId="833"/>
    <cellStyle name="Comma 8 4" xfId="834"/>
    <cellStyle name="Comma 8 4 2" xfId="835"/>
    <cellStyle name="Comma 8 5" xfId="836"/>
    <cellStyle name="Comma 9" xfId="837"/>
    <cellStyle name="Comma 9 2" xfId="1487"/>
    <cellStyle name="Comma0" xfId="1614"/>
    <cellStyle name="Comma0 2" xfId="1615"/>
    <cellStyle name="Comma0 3" xfId="1616"/>
    <cellStyle name="Comma0 4" xfId="1617"/>
    <cellStyle name="Comma0 5" xfId="1618"/>
    <cellStyle name="Comma0 6" xfId="1619"/>
    <cellStyle name="Currency" xfId="2" builtinId="4"/>
    <cellStyle name="Currency 2" xfId="838"/>
    <cellStyle name="Currency 2 2" xfId="839"/>
    <cellStyle name="Currency 2 2 2" xfId="840"/>
    <cellStyle name="Currency 2 2 2 2" xfId="841"/>
    <cellStyle name="Currency 2 2 3" xfId="842"/>
    <cellStyle name="Currency 2 2 3 2" xfId="843"/>
    <cellStyle name="Currency 2 2 3 2 2" xfId="844"/>
    <cellStyle name="Currency 2 2 3 2 2 2" xfId="845"/>
    <cellStyle name="Currency 2 2 3 2 3" xfId="846"/>
    <cellStyle name="Currency 2 2 3 3" xfId="847"/>
    <cellStyle name="Currency 2 2 3 3 2" xfId="848"/>
    <cellStyle name="Currency 2 2 3 4" xfId="849"/>
    <cellStyle name="Currency 2 2 4" xfId="850"/>
    <cellStyle name="Currency 2 2 4 2" xfId="851"/>
    <cellStyle name="Currency 2 2 4 2 2" xfId="852"/>
    <cellStyle name="Currency 2 2 4 2 2 2" xfId="853"/>
    <cellStyle name="Currency 2 2 4 2 3" xfId="854"/>
    <cellStyle name="Currency 2 2 4 3" xfId="855"/>
    <cellStyle name="Currency 2 2 4 3 2" xfId="856"/>
    <cellStyle name="Currency 2 2 4 4" xfId="857"/>
    <cellStyle name="Currency 2 2 5" xfId="858"/>
    <cellStyle name="Currency 2 2 6" xfId="1621"/>
    <cellStyle name="Currency 2 3" xfId="859"/>
    <cellStyle name="Currency 2 4" xfId="1620"/>
    <cellStyle name="Currency 3" xfId="860"/>
    <cellStyle name="Currency 3 2" xfId="861"/>
    <cellStyle name="Currency 3 2 2" xfId="1468"/>
    <cellStyle name="Currency 3 2 2 2" xfId="1622"/>
    <cellStyle name="Currency 3 3" xfId="862"/>
    <cellStyle name="Currency 4" xfId="863"/>
    <cellStyle name="Currency 4 2" xfId="864"/>
    <cellStyle name="Currency 4 3" xfId="1623"/>
    <cellStyle name="Currency 5" xfId="865"/>
    <cellStyle name="Currency 5 2" xfId="866"/>
    <cellStyle name="Currency 5 3" xfId="1624"/>
    <cellStyle name="Currency 6" xfId="867"/>
    <cellStyle name="Currency 7" xfId="868"/>
    <cellStyle name="Currency 7 2" xfId="869"/>
    <cellStyle name="Currency 7 3" xfId="1625"/>
    <cellStyle name="Currency0" xfId="1626"/>
    <cellStyle name="Currency0 2" xfId="1627"/>
    <cellStyle name="Currency0 3" xfId="1628"/>
    <cellStyle name="Currency0 4" xfId="1629"/>
    <cellStyle name="Currency0 5" xfId="1630"/>
    <cellStyle name="Currency0 6" xfId="1631"/>
    <cellStyle name="Date" xfId="1632"/>
    <cellStyle name="Date ()" xfId="1633"/>
    <cellStyle name="Date 2" xfId="1634"/>
    <cellStyle name="Date 3" xfId="1635"/>
    <cellStyle name="Date 4" xfId="1636"/>
    <cellStyle name="Date 5" xfId="1637"/>
    <cellStyle name="Date 6" xfId="1638"/>
    <cellStyle name="Date_new_Quarterly_Contribs_2005" xfId="1639"/>
    <cellStyle name="Excel Built-in Comma" xfId="1640"/>
    <cellStyle name="Excel Built-in Normal" xfId="1641"/>
    <cellStyle name="Excel Built-in Percent" xfId="1642"/>
    <cellStyle name="Explanatory Text" xfId="1439" builtinId="53" customBuiltin="1"/>
    <cellStyle name="Explanatory Text 2" xfId="1520"/>
    <cellStyle name="Explanatory Text 2 2" xfId="1643"/>
    <cellStyle name="Explanatory Text 3" xfId="1545"/>
    <cellStyle name="Fixed" xfId="1644"/>
    <cellStyle name="Fixed 2" xfId="1645"/>
    <cellStyle name="Fixed 3" xfId="1646"/>
    <cellStyle name="Fixed 4" xfId="1647"/>
    <cellStyle name="Fixed 5" xfId="1648"/>
    <cellStyle name="Fixed 6" xfId="1649"/>
    <cellStyle name="Good" xfId="1430" builtinId="26" customBuiltin="1"/>
    <cellStyle name="Good 2" xfId="1469"/>
    <cellStyle name="Good 2 2" xfId="1650"/>
    <cellStyle name="Good 3" xfId="1537"/>
    <cellStyle name="Header" xfId="1503"/>
    <cellStyle name="Header 2" xfId="1652"/>
    <cellStyle name="Header 3" xfId="1653"/>
    <cellStyle name="Header 4" xfId="1654"/>
    <cellStyle name="Header 5" xfId="1655"/>
    <cellStyle name="Header 6" xfId="1656"/>
    <cellStyle name="Header 7" xfId="1651"/>
    <cellStyle name="Heading" xfId="1657"/>
    <cellStyle name="Heading 1" xfId="1426" builtinId="16" customBuiltin="1"/>
    <cellStyle name="Heading 1 2" xfId="1480"/>
    <cellStyle name="Heading 1 2 2" xfId="1658"/>
    <cellStyle name="Heading 1 3" xfId="1539"/>
    <cellStyle name="Heading 2" xfId="1427" builtinId="17" customBuiltin="1"/>
    <cellStyle name="Heading 2 2" xfId="1511"/>
    <cellStyle name="Heading 2 2 2" xfId="1659"/>
    <cellStyle name="Heading 2 3" xfId="1492"/>
    <cellStyle name="Heading 3" xfId="1428" builtinId="18" customBuiltin="1"/>
    <cellStyle name="Heading 3 2" xfId="1500"/>
    <cellStyle name="Heading 3 2 2" xfId="1660"/>
    <cellStyle name="Heading 3 3" xfId="1565"/>
    <cellStyle name="Heading 4" xfId="1429" builtinId="19" customBuiltin="1"/>
    <cellStyle name="Heading 4 2" xfId="1466"/>
    <cellStyle name="Heading 4 2 2" xfId="1661"/>
    <cellStyle name="Heading 4 3" xfId="1532"/>
    <cellStyle name="Hyperlink 2" xfId="870"/>
    <cellStyle name="Hyperlink 2 2" xfId="1662"/>
    <cellStyle name="Hyperlink 3" xfId="871"/>
    <cellStyle name="Hyperlink 4" xfId="872"/>
    <cellStyle name="Input" xfId="1433" builtinId="20" customBuiltin="1"/>
    <cellStyle name="Input 2" xfId="1549"/>
    <cellStyle name="Input 2 2" xfId="1663"/>
    <cellStyle name="Input 3" xfId="1535"/>
    <cellStyle name="Input 4" xfId="1514"/>
    <cellStyle name="label" xfId="1664"/>
    <cellStyle name="Linked Cell" xfId="1436" builtinId="24" customBuiltin="1"/>
    <cellStyle name="Linked Cell 2" xfId="1476"/>
    <cellStyle name="Linked Cell 2 2" xfId="1665"/>
    <cellStyle name="Linked Cell 3" xfId="1523"/>
    <cellStyle name="Neutral" xfId="1432" builtinId="28" customBuiltin="1"/>
    <cellStyle name="Neutral 2" xfId="1509"/>
    <cellStyle name="Neutral 2 2" xfId="1666"/>
    <cellStyle name="Neutral 3" xfId="1540"/>
    <cellStyle name="No Border" xfId="1667"/>
    <cellStyle name="no dec" xfId="1668"/>
    <cellStyle name="Normal" xfId="0" builtinId="0"/>
    <cellStyle name="Normal 10" xfId="873"/>
    <cellStyle name="Normal 10 2" xfId="1669"/>
    <cellStyle name="Normal 11" xfId="874"/>
    <cellStyle name="Normal 11 2" xfId="875"/>
    <cellStyle name="Normal 11 3" xfId="1670"/>
    <cellStyle name="Normal 12" xfId="876"/>
    <cellStyle name="Normal 12 2" xfId="877"/>
    <cellStyle name="Normal 12 2 2" xfId="878"/>
    <cellStyle name="Normal 12 2 2 2" xfId="879"/>
    <cellStyle name="Normal 12 2 3" xfId="880"/>
    <cellStyle name="Normal 12 3" xfId="1671"/>
    <cellStyle name="Normal 13" xfId="881"/>
    <cellStyle name="Normal 13 2" xfId="882"/>
    <cellStyle name="Normal 13 2 2" xfId="883"/>
    <cellStyle name="Normal 13 2 2 2" xfId="884"/>
    <cellStyle name="Normal 13 2 3" xfId="885"/>
    <cellStyle name="Normal 13 3" xfId="886"/>
    <cellStyle name="Normal 13 3 2" xfId="887"/>
    <cellStyle name="Normal 13 4" xfId="888"/>
    <cellStyle name="Normal 13 5" xfId="1672"/>
    <cellStyle name="Normal 14" xfId="889"/>
    <cellStyle name="Normal 14 2" xfId="890"/>
    <cellStyle name="Normal 14 3" xfId="1673"/>
    <cellStyle name="Normal 15" xfId="891"/>
    <cellStyle name="Normal 15 2" xfId="892"/>
    <cellStyle name="Normal 15 3" xfId="1674"/>
    <cellStyle name="Normal 16" xfId="893"/>
    <cellStyle name="Normal 16 2" xfId="894"/>
    <cellStyle name="Normal 16 3" xfId="1675"/>
    <cellStyle name="Normal 17" xfId="895"/>
    <cellStyle name="Normal 17 2" xfId="1465"/>
    <cellStyle name="Normal 17 3" xfId="1676"/>
    <cellStyle name="Normal 18" xfId="1677"/>
    <cellStyle name="Normal 19" xfId="1678"/>
    <cellStyle name="Normal 2" xfId="896"/>
    <cellStyle name="Normal 2 10" xfId="897"/>
    <cellStyle name="Normal 2 10 2" xfId="898"/>
    <cellStyle name="Normal 2 10 2 2" xfId="899"/>
    <cellStyle name="Normal 2 10 3" xfId="900"/>
    <cellStyle name="Normal 2 11" xfId="901"/>
    <cellStyle name="Normal 2 12" xfId="1575"/>
    <cellStyle name="Normal 2 2" xfId="902"/>
    <cellStyle name="Normal 2 2 2" xfId="903"/>
    <cellStyle name="Normal 2 2 2 2" xfId="904"/>
    <cellStyle name="Normal 2 2 2 2 2" xfId="905"/>
    <cellStyle name="Normal 2 2 3" xfId="906"/>
    <cellStyle name="Normal 2 2 4" xfId="907"/>
    <cellStyle name="Normal 2 2 4 2" xfId="908"/>
    <cellStyle name="Normal 2 2 4 3" xfId="1571"/>
    <cellStyle name="Normal 2 2 5" xfId="1679"/>
    <cellStyle name="Normal 2 3" xfId="909"/>
    <cellStyle name="Normal 2 3 2" xfId="910"/>
    <cellStyle name="Normal 2 3 2 2" xfId="911"/>
    <cellStyle name="Normal 2 3 2 2 2" xfId="912"/>
    <cellStyle name="Normal 2 3 2 2 2 2" xfId="913"/>
    <cellStyle name="Normal 2 3 2 2 2 2 2" xfId="914"/>
    <cellStyle name="Normal 2 3 2 2 2 3" xfId="915"/>
    <cellStyle name="Normal 2 3 2 2 3" xfId="916"/>
    <cellStyle name="Normal 2 3 2 2 3 2" xfId="917"/>
    <cellStyle name="Normal 2 3 2 2 3 2 2" xfId="918"/>
    <cellStyle name="Normal 2 3 2 2 3 3" xfId="919"/>
    <cellStyle name="Normal 2 3 2 2 4" xfId="920"/>
    <cellStyle name="Normal 2 3 2 2 4 2" xfId="921"/>
    <cellStyle name="Normal 2 3 2 2 5" xfId="922"/>
    <cellStyle name="Normal 2 3 2 3" xfId="923"/>
    <cellStyle name="Normal 2 3 2 3 2" xfId="924"/>
    <cellStyle name="Normal 2 3 2 3 2 2" xfId="925"/>
    <cellStyle name="Normal 2 3 2 3 3" xfId="926"/>
    <cellStyle name="Normal 2 3 2 4" xfId="927"/>
    <cellStyle name="Normal 2 3 2 4 2" xfId="928"/>
    <cellStyle name="Normal 2 3 2 4 2 2" xfId="929"/>
    <cellStyle name="Normal 2 3 2 4 3" xfId="930"/>
    <cellStyle name="Normal 2 3 2 5" xfId="931"/>
    <cellStyle name="Normal 2 3 2 5 2" xfId="932"/>
    <cellStyle name="Normal 2 3 2 6" xfId="933"/>
    <cellStyle name="Normal 2 3 2 7" xfId="1485"/>
    <cellStyle name="Normal 2 3 2 8" xfId="1680"/>
    <cellStyle name="Normal 2 3 3" xfId="934"/>
    <cellStyle name="Normal 2 3 3 2" xfId="935"/>
    <cellStyle name="Normal 2 3 3 2 2" xfId="936"/>
    <cellStyle name="Normal 2 3 3 2 2 2" xfId="937"/>
    <cellStyle name="Normal 2 3 3 2 2 2 2" xfId="938"/>
    <cellStyle name="Normal 2 3 3 2 2 3" xfId="939"/>
    <cellStyle name="Normal 2 3 3 2 3" xfId="940"/>
    <cellStyle name="Normal 2 3 3 2 3 2" xfId="941"/>
    <cellStyle name="Normal 2 3 3 2 4" xfId="942"/>
    <cellStyle name="Normal 2 3 3 3" xfId="943"/>
    <cellStyle name="Normal 2 3 3 3 2" xfId="944"/>
    <cellStyle name="Normal 2 3 3 3 2 2" xfId="945"/>
    <cellStyle name="Normal 2 3 3 3 3" xfId="946"/>
    <cellStyle name="Normal 2 3 3 4" xfId="947"/>
    <cellStyle name="Normal 2 3 3 4 2" xfId="948"/>
    <cellStyle name="Normal 2 3 3 5" xfId="949"/>
    <cellStyle name="Normal 2 3 4" xfId="950"/>
    <cellStyle name="Normal 2 3 4 2" xfId="951"/>
    <cellStyle name="Normal 2 3 4 2 2" xfId="952"/>
    <cellStyle name="Normal 2 3 4 3" xfId="953"/>
    <cellStyle name="Normal 2 3 5" xfId="954"/>
    <cellStyle name="Normal 2 3 5 2" xfId="955"/>
    <cellStyle name="Normal 2 3 5 2 2" xfId="956"/>
    <cellStyle name="Normal 2 3 5 3" xfId="957"/>
    <cellStyle name="Normal 2 3 6" xfId="958"/>
    <cellStyle name="Normal 2 3 6 2" xfId="959"/>
    <cellStyle name="Normal 2 3 6 2 2" xfId="960"/>
    <cellStyle name="Normal 2 3 6 3" xfId="961"/>
    <cellStyle name="Normal 2 3 7" xfId="1512"/>
    <cellStyle name="Normal 2 4" xfId="962"/>
    <cellStyle name="Normal 2 4 2" xfId="963"/>
    <cellStyle name="Normal 2 4 2 2" xfId="964"/>
    <cellStyle name="Normal 2 4 2 2 2" xfId="965"/>
    <cellStyle name="Normal 2 4 2 2 2 2" xfId="966"/>
    <cellStyle name="Normal 2 4 2 2 3" xfId="967"/>
    <cellStyle name="Normal 2 4 2 3" xfId="968"/>
    <cellStyle name="Normal 2 4 2 3 2" xfId="969"/>
    <cellStyle name="Normal 2 4 2 4" xfId="970"/>
    <cellStyle name="Normal 2 4 2 4 2" xfId="971"/>
    <cellStyle name="Normal 2 4 2 5" xfId="972"/>
    <cellStyle name="Normal 2 4 3" xfId="973"/>
    <cellStyle name="Normal 2 4 3 2" xfId="974"/>
    <cellStyle name="Normal 2 4 4" xfId="975"/>
    <cellStyle name="Normal 2 4 4 2" xfId="976"/>
    <cellStyle name="Normal 2 4 4 2 2" xfId="977"/>
    <cellStyle name="Normal 2 4 4 3" xfId="978"/>
    <cellStyle name="Normal 2 4 5" xfId="979"/>
    <cellStyle name="Normal 2 4 5 2" xfId="980"/>
    <cellStyle name="Normal 2 4 5 2 2" xfId="981"/>
    <cellStyle name="Normal 2 4 5 3" xfId="982"/>
    <cellStyle name="Normal 2 4 6" xfId="983"/>
    <cellStyle name="Normal 2 4 6 2" xfId="984"/>
    <cellStyle name="Normal 2 4 7" xfId="985"/>
    <cellStyle name="Normal 2 5" xfId="986"/>
    <cellStyle name="Normal 2 5 2" xfId="987"/>
    <cellStyle name="Normal 2 5 2 2" xfId="988"/>
    <cellStyle name="Normal 2 5 2 2 2" xfId="989"/>
    <cellStyle name="Normal 2 5 2 2 2 2" xfId="990"/>
    <cellStyle name="Normal 2 5 2 2 2 2 2" xfId="991"/>
    <cellStyle name="Normal 2 5 2 2 2 3" xfId="992"/>
    <cellStyle name="Normal 2 5 2 2 3" xfId="993"/>
    <cellStyle name="Normal 2 5 2 2 3 2" xfId="994"/>
    <cellStyle name="Normal 2 5 2 2 4" xfId="995"/>
    <cellStyle name="Normal 2 5 2 3" xfId="996"/>
    <cellStyle name="Normal 2 5 2 3 2" xfId="997"/>
    <cellStyle name="Normal 2 5 2 3 2 2" xfId="998"/>
    <cellStyle name="Normal 2 5 2 3 3" xfId="999"/>
    <cellStyle name="Normal 2 5 2 4" xfId="1000"/>
    <cellStyle name="Normal 2 5 2 4 2" xfId="1001"/>
    <cellStyle name="Normal 2 5 2 5" xfId="1002"/>
    <cellStyle name="Normal 2 5 3" xfId="1003"/>
    <cellStyle name="Normal 2 5 3 2" xfId="1004"/>
    <cellStyle name="Normal 2 5 3 2 2" xfId="1005"/>
    <cellStyle name="Normal 2 5 3 3" xfId="1006"/>
    <cellStyle name="Normal 2 5 4" xfId="1007"/>
    <cellStyle name="Normal 2 5 4 2" xfId="1008"/>
    <cellStyle name="Normal 2 5 4 2 2" xfId="1009"/>
    <cellStyle name="Normal 2 5 4 3" xfId="1010"/>
    <cellStyle name="Normal 2 6" xfId="1011"/>
    <cellStyle name="Normal 2 6 2" xfId="1012"/>
    <cellStyle name="Normal 2 6 2 2" xfId="1013"/>
    <cellStyle name="Normal 2 6 2 2 2" xfId="1014"/>
    <cellStyle name="Normal 2 6 2 3" xfId="1015"/>
    <cellStyle name="Normal 2 6 3" xfId="1016"/>
    <cellStyle name="Normal 2 6 3 2" xfId="1017"/>
    <cellStyle name="Normal 2 6 3 2 2" xfId="1018"/>
    <cellStyle name="Normal 2 6 3 3" xfId="1019"/>
    <cellStyle name="Normal 2 7" xfId="1020"/>
    <cellStyle name="Normal 2 7 2" xfId="1021"/>
    <cellStyle name="Normal 2 7 2 2" xfId="1022"/>
    <cellStyle name="Normal 2 7 2 2 2" xfId="1023"/>
    <cellStyle name="Normal 2 7 2 3" xfId="1024"/>
    <cellStyle name="Normal 2 7 3" xfId="1025"/>
    <cellStyle name="Normal 2 8" xfId="1026"/>
    <cellStyle name="Normal 2 8 2" xfId="1027"/>
    <cellStyle name="Normal 2 8 2 2" xfId="1028"/>
    <cellStyle name="Normal 2 8 2 2 2" xfId="1029"/>
    <cellStyle name="Normal 2 8 2 3" xfId="1030"/>
    <cellStyle name="Normal 2 9" xfId="1031"/>
    <cellStyle name="Normal 2 9 2" xfId="1032"/>
    <cellStyle name="Normal 2 9 2 2" xfId="1033"/>
    <cellStyle name="Normal 2 9 2 2 2" xfId="1034"/>
    <cellStyle name="Normal 2 9 2 3" xfId="1035"/>
    <cellStyle name="Normal 2 9 3" xfId="1036"/>
    <cellStyle name="Normal 2 9 3 2" xfId="1037"/>
    <cellStyle name="Normal 2 9 4" xfId="1038"/>
    <cellStyle name="Normal 20" xfId="1681"/>
    <cellStyle name="Normal 21" xfId="1682"/>
    <cellStyle name="Normal 22" xfId="1683"/>
    <cellStyle name="Normal 23" xfId="1684"/>
    <cellStyle name="Normal 24" xfId="1685"/>
    <cellStyle name="Normal 25" xfId="1686"/>
    <cellStyle name="Normal 26" xfId="1687"/>
    <cellStyle name="Normal 27" xfId="1688"/>
    <cellStyle name="Normal 28" xfId="1689"/>
    <cellStyle name="Normal 29" xfId="1690"/>
    <cellStyle name="Normal 3" xfId="1039"/>
    <cellStyle name="Normal 3 2" xfId="1040"/>
    <cellStyle name="Normal 3 2 2" xfId="1544"/>
    <cellStyle name="Normal 3 2 3" xfId="1496"/>
    <cellStyle name="Normal 3 2 4" xfId="1531"/>
    <cellStyle name="Normal 3 3" xfId="1041"/>
    <cellStyle name="Normal 3 3 2" xfId="1559"/>
    <cellStyle name="Normal 3 4" xfId="1042"/>
    <cellStyle name="Normal 3 4 2" xfId="1043"/>
    <cellStyle name="Normal 3 4 2 2" xfId="1044"/>
    <cellStyle name="Normal 3 4 3" xfId="1045"/>
    <cellStyle name="Normal 3 4 4" xfId="1691"/>
    <cellStyle name="Normal 3 5" xfId="1046"/>
    <cellStyle name="Normal 3 5 2" xfId="1047"/>
    <cellStyle name="Normal 3 5 2 2" xfId="1574"/>
    <cellStyle name="Normal 3 5 2 3" xfId="1502"/>
    <cellStyle name="Normal 3 5 3" xfId="1572"/>
    <cellStyle name="Normal 3_boca2010val" xfId="1692"/>
    <cellStyle name="Normal 30" xfId="1693"/>
    <cellStyle name="Normal 31" xfId="1694"/>
    <cellStyle name="Normal 32" xfId="1695"/>
    <cellStyle name="Normal 33" xfId="1696"/>
    <cellStyle name="Normal 34" xfId="1697"/>
    <cellStyle name="Normal 35" xfId="1698"/>
    <cellStyle name="Normal 36" xfId="1699"/>
    <cellStyle name="Normal 37" xfId="1700"/>
    <cellStyle name="Normal 38" xfId="1701"/>
    <cellStyle name="Normal 39" xfId="1702"/>
    <cellStyle name="Normal 4" xfId="1048"/>
    <cellStyle name="Normal 4 2" xfId="1049"/>
    <cellStyle name="Normal 4 2 2" xfId="1050"/>
    <cellStyle name="Normal 4 2 2 2" xfId="1051"/>
    <cellStyle name="Normal 4 2 3" xfId="1052"/>
    <cellStyle name="Normal 4 2 4" xfId="1053"/>
    <cellStyle name="Normal 4 2 5" xfId="1054"/>
    <cellStyle name="Normal 4 3" xfId="1055"/>
    <cellStyle name="Normal 4 4" xfId="1056"/>
    <cellStyle name="Normal 4 5" xfId="1057"/>
    <cellStyle name="Normal 4 5 2" xfId="1507"/>
    <cellStyle name="Normal 40" xfId="1703"/>
    <cellStyle name="Normal 41" xfId="1704"/>
    <cellStyle name="Normal 42" xfId="1705"/>
    <cellStyle name="Normal 43" xfId="1706"/>
    <cellStyle name="Normal 44" xfId="1707"/>
    <cellStyle name="Normal 45" xfId="1708"/>
    <cellStyle name="Normal 46" xfId="1709"/>
    <cellStyle name="Normal 47" xfId="1710"/>
    <cellStyle name="Normal 48" xfId="1711"/>
    <cellStyle name="Normal 49" xfId="1712"/>
    <cellStyle name="Normal 5" xfId="1058"/>
    <cellStyle name="Normal 5 2" xfId="1059"/>
    <cellStyle name="Normal 5 2 2" xfId="1060"/>
    <cellStyle name="Normal 5 2 2 2" xfId="1061"/>
    <cellStyle name="Normal 5 2 2 3" xfId="1713"/>
    <cellStyle name="Normal 5 2 3" xfId="1062"/>
    <cellStyle name="Normal 5 2 3 2" xfId="1063"/>
    <cellStyle name="Normal 5 2 3 2 2" xfId="1064"/>
    <cellStyle name="Normal 5 2 3 2 2 2" xfId="1065"/>
    <cellStyle name="Normal 5 2 3 2 2 2 2" xfId="1066"/>
    <cellStyle name="Normal 5 2 3 2 2 3" xfId="1067"/>
    <cellStyle name="Normal 5 2 3 2 3" xfId="1068"/>
    <cellStyle name="Normal 5 2 3 2 3 2" xfId="1069"/>
    <cellStyle name="Normal 5 2 3 2 3 2 2" xfId="1070"/>
    <cellStyle name="Normal 5 2 3 2 3 3" xfId="1071"/>
    <cellStyle name="Normal 5 2 3 2 4" xfId="1072"/>
    <cellStyle name="Normal 5 2 3 2 4 2" xfId="1073"/>
    <cellStyle name="Normal 5 2 3 2 5" xfId="1074"/>
    <cellStyle name="Normal 5 2 3 3" xfId="1075"/>
    <cellStyle name="Normal 5 2 3 3 2" xfId="1076"/>
    <cellStyle name="Normal 5 2 3 3 2 2" xfId="1077"/>
    <cellStyle name="Normal 5 2 3 3 3" xfId="1078"/>
    <cellStyle name="Normal 5 2 3 4" xfId="1079"/>
    <cellStyle name="Normal 5 2 3 4 2" xfId="1080"/>
    <cellStyle name="Normal 5 2 3 4 2 2" xfId="1081"/>
    <cellStyle name="Normal 5 2 3 4 3" xfId="1082"/>
    <cellStyle name="Normal 5 2 3 5" xfId="1083"/>
    <cellStyle name="Normal 5 2 3 5 2" xfId="1084"/>
    <cellStyle name="Normal 5 2 3 6" xfId="1085"/>
    <cellStyle name="Normal 5 2 4" xfId="1086"/>
    <cellStyle name="Normal 5 2 4 2" xfId="1087"/>
    <cellStyle name="Normal 5 2 4 2 2" xfId="1088"/>
    <cellStyle name="Normal 5 2 4 2 2 2" xfId="1089"/>
    <cellStyle name="Normal 5 2 4 2 2 2 2" xfId="1090"/>
    <cellStyle name="Normal 5 2 4 2 2 3" xfId="1091"/>
    <cellStyle name="Normal 5 2 4 2 3" xfId="1092"/>
    <cellStyle name="Normal 5 2 4 2 3 2" xfId="1093"/>
    <cellStyle name="Normal 5 2 4 2 4" xfId="1094"/>
    <cellStyle name="Normal 5 2 4 3" xfId="1095"/>
    <cellStyle name="Normal 5 2 4 3 2" xfId="1096"/>
    <cellStyle name="Normal 5 2 4 3 2 2" xfId="1097"/>
    <cellStyle name="Normal 5 2 4 3 3" xfId="1098"/>
    <cellStyle name="Normal 5 2 4 4" xfId="1099"/>
    <cellStyle name="Normal 5 2 4 4 2" xfId="1100"/>
    <cellStyle name="Normal 5 2 4 5" xfId="1101"/>
    <cellStyle name="Normal 5 2 5" xfId="1102"/>
    <cellStyle name="Normal 5 2 5 2" xfId="1103"/>
    <cellStyle name="Normal 5 2 5 2 2" xfId="1104"/>
    <cellStyle name="Normal 5 2 5 3" xfId="1105"/>
    <cellStyle name="Normal 5 2 6" xfId="1106"/>
    <cellStyle name="Normal 5 2 6 2" xfId="1107"/>
    <cellStyle name="Normal 5 2 6 2 2" xfId="1108"/>
    <cellStyle name="Normal 5 2 6 3" xfId="1109"/>
    <cellStyle name="Normal 5 3" xfId="1110"/>
    <cellStyle name="Normal 5 3 2" xfId="1111"/>
    <cellStyle name="Normal 5 3 2 2" xfId="1112"/>
    <cellStyle name="Normal 5 3 2 2 2" xfId="1113"/>
    <cellStyle name="Normal 5 3 2 2 2 2" xfId="1114"/>
    <cellStyle name="Normal 5 3 2 2 2 2 2" xfId="1115"/>
    <cellStyle name="Normal 5 3 2 2 2 3" xfId="1116"/>
    <cellStyle name="Normal 5 3 2 2 3" xfId="1117"/>
    <cellStyle name="Normal 5 3 2 2 3 2" xfId="1118"/>
    <cellStyle name="Normal 5 3 2 2 4" xfId="1119"/>
    <cellStyle name="Normal 5 3 2 3" xfId="1120"/>
    <cellStyle name="Normal 5 3 2 3 2" xfId="1121"/>
    <cellStyle name="Normal 5 3 2 3 2 2" xfId="1122"/>
    <cellStyle name="Normal 5 3 2 3 3" xfId="1123"/>
    <cellStyle name="Normal 5 3 2 4" xfId="1124"/>
    <cellStyle name="Normal 5 3 2 4 2" xfId="1125"/>
    <cellStyle name="Normal 5 3 2 5" xfId="1126"/>
    <cellStyle name="Normal 5 3 3" xfId="1127"/>
    <cellStyle name="Normal 5 3 3 2" xfId="1128"/>
    <cellStyle name="Normal 5 3 3 2 2" xfId="1129"/>
    <cellStyle name="Normal 5 3 3 3" xfId="1130"/>
    <cellStyle name="Normal 5 3 4" xfId="1131"/>
    <cellStyle name="Normal 5 3 4 2" xfId="1132"/>
    <cellStyle name="Normal 5 3 4 2 2" xfId="1133"/>
    <cellStyle name="Normal 5 3 4 3" xfId="1134"/>
    <cellStyle name="Normal 5 4" xfId="1135"/>
    <cellStyle name="Normal 5 4 2" xfId="1136"/>
    <cellStyle name="Normal 5 4 2 2" xfId="1137"/>
    <cellStyle name="Normal 5 4 2 2 2" xfId="1138"/>
    <cellStyle name="Normal 5 4 2 2 2 2" xfId="1139"/>
    <cellStyle name="Normal 5 4 2 2 3" xfId="1140"/>
    <cellStyle name="Normal 5 4 2 3" xfId="1141"/>
    <cellStyle name="Normal 5 4 2 3 2" xfId="1142"/>
    <cellStyle name="Normal 5 4 2 4" xfId="1143"/>
    <cellStyle name="Normal 5 4 3" xfId="1144"/>
    <cellStyle name="Normal 5 4 3 2" xfId="1145"/>
    <cellStyle name="Normal 5 4 3 2 2" xfId="1146"/>
    <cellStyle name="Normal 5 4 3 3" xfId="1147"/>
    <cellStyle name="Normal 5 4 4" xfId="1148"/>
    <cellStyle name="Normal 5 4 4 2" xfId="1149"/>
    <cellStyle name="Normal 5 4 5" xfId="1150"/>
    <cellStyle name="Normal 5 4 6" xfId="1714"/>
    <cellStyle name="Normal 5 5" xfId="1151"/>
    <cellStyle name="Normal 5 5 2" xfId="1152"/>
    <cellStyle name="Normal 5 5 2 2" xfId="1153"/>
    <cellStyle name="Normal 5 5 3" xfId="1154"/>
    <cellStyle name="Normal 5 5 4" xfId="1715"/>
    <cellStyle name="Normal 5 6" xfId="1155"/>
    <cellStyle name="Normal 5 6 2" xfId="1156"/>
    <cellStyle name="Normal 5 6 2 2" xfId="1157"/>
    <cellStyle name="Normal 5 6 3" xfId="1158"/>
    <cellStyle name="Normal 50" xfId="1716"/>
    <cellStyle name="Normal 51" xfId="1717"/>
    <cellStyle name="Normal 52" xfId="1718"/>
    <cellStyle name="Normal 53" xfId="1719"/>
    <cellStyle name="Normal 54" xfId="1720"/>
    <cellStyle name="Normal 55" xfId="1721"/>
    <cellStyle name="Normal 56" xfId="1722"/>
    <cellStyle name="Normal 57" xfId="1723"/>
    <cellStyle name="Normal 58" xfId="1724"/>
    <cellStyle name="Normal 59" xfId="1725"/>
    <cellStyle name="Normal 6" xfId="1159"/>
    <cellStyle name="Normal 6 2" xfId="1160"/>
    <cellStyle name="Normal 6 2 2" xfId="1161"/>
    <cellStyle name="Normal 6 2 2 2" xfId="1727"/>
    <cellStyle name="Normal 6 2 2 3" xfId="1726"/>
    <cellStyle name="Normal 6 2 3" xfId="1162"/>
    <cellStyle name="Normal 6 2 3 2" xfId="1163"/>
    <cellStyle name="Normal 6 2 3 2 2" xfId="1164"/>
    <cellStyle name="Normal 6 2 3 3" xfId="1165"/>
    <cellStyle name="Normal 6 2 4" xfId="1166"/>
    <cellStyle name="Normal 6 2 4 2" xfId="1167"/>
    <cellStyle name="Normal 6 2 4 3" xfId="1728"/>
    <cellStyle name="Normal 6 2 5" xfId="1168"/>
    <cellStyle name="Normal 6 3" xfId="1169"/>
    <cellStyle name="Normal 6 3 2" xfId="1170"/>
    <cellStyle name="Normal 6 3 2 2" xfId="1171"/>
    <cellStyle name="Normal 6 3 2 2 2" xfId="1172"/>
    <cellStyle name="Normal 6 3 2 2 2 2" xfId="1173"/>
    <cellStyle name="Normal 6 3 2 2 3" xfId="1174"/>
    <cellStyle name="Normal 6 3 2 3" xfId="1175"/>
    <cellStyle name="Normal 6 3 2 3 2" xfId="1176"/>
    <cellStyle name="Normal 6 3 2 3 2 2" xfId="1177"/>
    <cellStyle name="Normal 6 3 2 3 3" xfId="1178"/>
    <cellStyle name="Normal 6 3 2 4" xfId="1179"/>
    <cellStyle name="Normal 6 3 2 4 2" xfId="1180"/>
    <cellStyle name="Normal 6 3 2 5" xfId="1181"/>
    <cellStyle name="Normal 6 3 3" xfId="1182"/>
    <cellStyle name="Normal 6 3 3 2" xfId="1183"/>
    <cellStyle name="Normal 6 3 3 2 2" xfId="1184"/>
    <cellStyle name="Normal 6 3 3 3" xfId="1185"/>
    <cellStyle name="Normal 6 3 4" xfId="1186"/>
    <cellStyle name="Normal 6 3 4 2" xfId="1187"/>
    <cellStyle name="Normal 6 3 4 2 2" xfId="1188"/>
    <cellStyle name="Normal 6 3 4 3" xfId="1189"/>
    <cellStyle name="Normal 6 3 5" xfId="1190"/>
    <cellStyle name="Normal 6 3 5 2" xfId="1191"/>
    <cellStyle name="Normal 6 3 6" xfId="1192"/>
    <cellStyle name="Normal 6 4" xfId="1193"/>
    <cellStyle name="Normal 6 4 2" xfId="1194"/>
    <cellStyle name="Normal 6 4 2 2" xfId="1195"/>
    <cellStyle name="Normal 6 4 2 2 2" xfId="1196"/>
    <cellStyle name="Normal 6 4 2 2 2 2" xfId="1197"/>
    <cellStyle name="Normal 6 4 2 2 3" xfId="1198"/>
    <cellStyle name="Normal 6 4 2 3" xfId="1199"/>
    <cellStyle name="Normal 6 4 2 3 2" xfId="1200"/>
    <cellStyle name="Normal 6 4 2 4" xfId="1201"/>
    <cellStyle name="Normal 6 4 3" xfId="1202"/>
    <cellStyle name="Normal 6 4 3 2" xfId="1203"/>
    <cellStyle name="Normal 6 4 3 2 2" xfId="1204"/>
    <cellStyle name="Normal 6 4 3 3" xfId="1205"/>
    <cellStyle name="Normal 6 4 4" xfId="1206"/>
    <cellStyle name="Normal 6 4 4 2" xfId="1207"/>
    <cellStyle name="Normal 6 4 5" xfId="1208"/>
    <cellStyle name="Normal 6 5" xfId="1209"/>
    <cellStyle name="Normal 6 5 2" xfId="1210"/>
    <cellStyle name="Normal 6 5 2 2" xfId="1211"/>
    <cellStyle name="Normal 6 5 2 2 2" xfId="1212"/>
    <cellStyle name="Normal 6 5 2 3" xfId="1213"/>
    <cellStyle name="Normal 6 5 3" xfId="1214"/>
    <cellStyle name="Normal 6 5 3 2" xfId="1215"/>
    <cellStyle name="Normal 6 5 4" xfId="1216"/>
    <cellStyle name="Normal 6 6" xfId="1217"/>
    <cellStyle name="Normal 6 6 2" xfId="1218"/>
    <cellStyle name="Normal 6 6 2 2" xfId="1219"/>
    <cellStyle name="Normal 6 6 3" xfId="1220"/>
    <cellStyle name="Normal 6 7" xfId="1221"/>
    <cellStyle name="Normal 6 7 2" xfId="1222"/>
    <cellStyle name="Normal 6 8" xfId="1223"/>
    <cellStyle name="Normal 60" xfId="1729"/>
    <cellStyle name="Normal 61" xfId="1730"/>
    <cellStyle name="Normal 62" xfId="1731"/>
    <cellStyle name="Normal 63" xfId="1732"/>
    <cellStyle name="Normal 64" xfId="1733"/>
    <cellStyle name="Normal 65" xfId="1734"/>
    <cellStyle name="Normal 66" xfId="1735"/>
    <cellStyle name="Normal 67" xfId="1736"/>
    <cellStyle name="Normal 68" xfId="1737"/>
    <cellStyle name="Normal 69" xfId="1738"/>
    <cellStyle name="Normal 7" xfId="1224"/>
    <cellStyle name="Normal 7 2" xfId="1225"/>
    <cellStyle name="Normal 7 2 2" xfId="1226"/>
    <cellStyle name="Normal 7 2 3" xfId="1739"/>
    <cellStyle name="Normal 7 3" xfId="1227"/>
    <cellStyle name="Normal 7 3 2" xfId="1228"/>
    <cellStyle name="Normal 7 3 2 2" xfId="1229"/>
    <cellStyle name="Normal 7 3 3" xfId="1230"/>
    <cellStyle name="Normal 7 4" xfId="1231"/>
    <cellStyle name="Normal 7 4 2" xfId="1232"/>
    <cellStyle name="Normal 7 5" xfId="1233"/>
    <cellStyle name="Normal 7 6" xfId="1533"/>
    <cellStyle name="Normal 70" xfId="1740"/>
    <cellStyle name="Normal 71" xfId="1741"/>
    <cellStyle name="Normal 72" xfId="1742"/>
    <cellStyle name="Normal 73" xfId="1743"/>
    <cellStyle name="Normal 74" xfId="1744"/>
    <cellStyle name="Normal 75" xfId="1745"/>
    <cellStyle name="Normal 76" xfId="1746"/>
    <cellStyle name="Normal 77" xfId="1747"/>
    <cellStyle name="Normal 78" xfId="1748"/>
    <cellStyle name="Normal 79" xfId="1749"/>
    <cellStyle name="Normal 8" xfId="1234"/>
    <cellStyle name="Normal 8 2" xfId="1235"/>
    <cellStyle name="Normal 8 2 2" xfId="1236"/>
    <cellStyle name="Normal 8 2 2 2" xfId="1237"/>
    <cellStyle name="Normal 8 2 2 2 2" xfId="1238"/>
    <cellStyle name="Normal 8 2 2 3" xfId="1239"/>
    <cellStyle name="Normal 8 2 3" xfId="1240"/>
    <cellStyle name="Normal 8 2 3 2" xfId="1241"/>
    <cellStyle name="Normal 8 2 3 2 2" xfId="1242"/>
    <cellStyle name="Normal 8 2 3 3" xfId="1243"/>
    <cellStyle name="Normal 8 2 4" xfId="1244"/>
    <cellStyle name="Normal 8 2 4 2" xfId="1245"/>
    <cellStyle name="Normal 8 2 5" xfId="1246"/>
    <cellStyle name="Normal 8 3" xfId="1247"/>
    <cellStyle name="Normal 8 3 2" xfId="1248"/>
    <cellStyle name="Normal 8 3 2 2" xfId="1249"/>
    <cellStyle name="Normal 8 3 3" xfId="1250"/>
    <cellStyle name="Normal 8 4" xfId="1251"/>
    <cellStyle name="Normal 8 4 2" xfId="1252"/>
    <cellStyle name="Normal 8 4 2 2" xfId="1253"/>
    <cellStyle name="Normal 8 4 3" xfId="1254"/>
    <cellStyle name="Normal 8 5" xfId="1255"/>
    <cellStyle name="Normal 8 5 2" xfId="1256"/>
    <cellStyle name="Normal 8 6" xfId="1257"/>
    <cellStyle name="Normal 80" xfId="1750"/>
    <cellStyle name="Normal 81" xfId="1751"/>
    <cellStyle name="Normal 82" xfId="1752"/>
    <cellStyle name="Normal 83" xfId="1753"/>
    <cellStyle name="Normal 84" xfId="1754"/>
    <cellStyle name="Normal 85" xfId="1755"/>
    <cellStyle name="Normal 86" xfId="1756"/>
    <cellStyle name="Normal 87" xfId="1757"/>
    <cellStyle name="Normal 9" xfId="1258"/>
    <cellStyle name="Normal 9 2" xfId="1259"/>
    <cellStyle name="Normal 9 3" xfId="1758"/>
    <cellStyle name="Normal_LYNX OPEB Val03" xfId="1424"/>
    <cellStyle name="Note 2" xfId="1260"/>
    <cellStyle name="Note 2 2" xfId="1261"/>
    <cellStyle name="Note 2 2 2" xfId="1262"/>
    <cellStyle name="Note 2 2 2 2" xfId="1263"/>
    <cellStyle name="Note 2 2 2 2 2" xfId="1264"/>
    <cellStyle name="Note 2 2 2 2 2 2" xfId="1265"/>
    <cellStyle name="Note 2 2 2 2 3" xfId="1266"/>
    <cellStyle name="Note 2 2 2 3" xfId="1267"/>
    <cellStyle name="Note 2 2 2 3 2" xfId="1268"/>
    <cellStyle name="Note 2 2 2 3 2 2" xfId="1269"/>
    <cellStyle name="Note 2 2 2 3 3" xfId="1270"/>
    <cellStyle name="Note 2 2 2 4" xfId="1271"/>
    <cellStyle name="Note 2 2 2 4 2" xfId="1272"/>
    <cellStyle name="Note 2 2 2 5" xfId="1273"/>
    <cellStyle name="Note 2 2 3" xfId="1274"/>
    <cellStyle name="Note 2 2 3 2" xfId="1275"/>
    <cellStyle name="Note 2 2 3 2 2" xfId="1276"/>
    <cellStyle name="Note 2 2 3 3" xfId="1277"/>
    <cellStyle name="Note 2 2 4" xfId="1278"/>
    <cellStyle name="Note 2 2 4 2" xfId="1279"/>
    <cellStyle name="Note 2 2 4 2 2" xfId="1280"/>
    <cellStyle name="Note 2 2 4 3" xfId="1281"/>
    <cellStyle name="Note 2 2 5" xfId="1282"/>
    <cellStyle name="Note 2 2 5 2" xfId="1283"/>
    <cellStyle name="Note 2 2 6" xfId="1284"/>
    <cellStyle name="Note 2 2 7" xfId="1560"/>
    <cellStyle name="Note 2 3" xfId="1285"/>
    <cellStyle name="Note 2 3 2" xfId="1286"/>
    <cellStyle name="Note 2 3 2 2" xfId="1287"/>
    <cellStyle name="Note 2 3 2 2 2" xfId="1288"/>
    <cellStyle name="Note 2 3 2 3" xfId="1289"/>
    <cellStyle name="Note 2 3 3" xfId="1290"/>
    <cellStyle name="Note 2 3 3 2" xfId="1291"/>
    <cellStyle name="Note 2 3 3 2 2" xfId="1292"/>
    <cellStyle name="Note 2 3 3 3" xfId="1293"/>
    <cellStyle name="Note 2 3 4" xfId="1294"/>
    <cellStyle name="Note 2 3 4 2" xfId="1295"/>
    <cellStyle name="Note 2 3 5" xfId="1296"/>
    <cellStyle name="Note 2 4" xfId="1297"/>
    <cellStyle name="Note 2 4 2" xfId="1298"/>
    <cellStyle name="Note 2 4 2 2" xfId="1299"/>
    <cellStyle name="Note 2 4 3" xfId="1300"/>
    <cellStyle name="Note 2 5" xfId="1301"/>
    <cellStyle name="Note 2 5 2" xfId="1302"/>
    <cellStyle name="Note 2 5 2 2" xfId="1303"/>
    <cellStyle name="Note 2 5 3" xfId="1304"/>
    <cellStyle name="Note 2 6" xfId="1305"/>
    <cellStyle name="Note 2 6 2" xfId="1306"/>
    <cellStyle name="Note 2 7" xfId="1307"/>
    <cellStyle name="Note 2 8" xfId="1308"/>
    <cellStyle name="Note 2 8 2" xfId="1504"/>
    <cellStyle name="Note 2 9" xfId="1759"/>
    <cellStyle name="Note 3" xfId="1309"/>
    <cellStyle name="Note 3 2" xfId="1310"/>
    <cellStyle name="Note 3 2 2" xfId="1311"/>
    <cellStyle name="Note 3 3" xfId="1312"/>
    <cellStyle name="Note 4" xfId="1313"/>
    <cellStyle name="Note 4 2" xfId="1314"/>
    <cellStyle name="Note 5" xfId="1557"/>
    <cellStyle name="Number" xfId="1760"/>
    <cellStyle name="Number0DecimalStyle" xfId="1761"/>
    <cellStyle name="Number10DecimalStyle" xfId="1762"/>
    <cellStyle name="Number1DecimalStyle" xfId="1763"/>
    <cellStyle name="Number2DecimalStyle" xfId="1764"/>
    <cellStyle name="Number3DecimalStyle" xfId="1765"/>
    <cellStyle name="Number4DecimalStyle" xfId="1766"/>
    <cellStyle name="Number5DecimalStyle" xfId="1767"/>
    <cellStyle name="Number6DecimalStyle" xfId="1768"/>
    <cellStyle name="Number7DecimalStyle" xfId="1769"/>
    <cellStyle name="Number8DecimalStyle" xfId="1770"/>
    <cellStyle name="Number9DecimalStyle" xfId="1771"/>
    <cellStyle name="Output" xfId="1434" builtinId="21" customBuiltin="1"/>
    <cellStyle name="Output 2" xfId="1493"/>
    <cellStyle name="Output 2 2" xfId="1772"/>
    <cellStyle name="Output 3" xfId="1495"/>
    <cellStyle name="Percent" xfId="3" builtinId="5"/>
    <cellStyle name="Percent [2]" xfId="1773"/>
    <cellStyle name="Percent 10" xfId="1315"/>
    <cellStyle name="Percent 10 2" xfId="1316"/>
    <cellStyle name="Percent 10 2 2" xfId="1317"/>
    <cellStyle name="Percent 11" xfId="1318"/>
    <cellStyle name="Percent 11 2" xfId="1319"/>
    <cellStyle name="Percent 12" xfId="1320"/>
    <cellStyle name="Percent 12 2" xfId="1321"/>
    <cellStyle name="Percent 2" xfId="1322"/>
    <cellStyle name="Percent 2 2" xfId="1323"/>
    <cellStyle name="Percent 2 2 2" xfId="1324"/>
    <cellStyle name="Percent 2 2 2 2" xfId="1325"/>
    <cellStyle name="Percent 2 2 2 2 2" xfId="1326"/>
    <cellStyle name="Percent 2 2 2 2 2 2" xfId="1327"/>
    <cellStyle name="Percent 2 2 2 2 3" xfId="1328"/>
    <cellStyle name="Percent 2 2 2 3" xfId="1329"/>
    <cellStyle name="Percent 2 2 2 3 2" xfId="1330"/>
    <cellStyle name="Percent 2 2 2 4" xfId="1331"/>
    <cellStyle name="Percent 2 2 2 5" xfId="1776"/>
    <cellStyle name="Percent 2 2 3" xfId="1332"/>
    <cellStyle name="Percent 2 2 4" xfId="1333"/>
    <cellStyle name="Percent 2 2 4 2" xfId="1334"/>
    <cellStyle name="Percent 2 2 4 2 2" xfId="1335"/>
    <cellStyle name="Percent 2 2 4 3" xfId="1336"/>
    <cellStyle name="Percent 2 2 5" xfId="1337"/>
    <cellStyle name="Percent 2 2 5 2" xfId="1338"/>
    <cellStyle name="Percent 2 2 6" xfId="1339"/>
    <cellStyle name="Percent 2 2 7" xfId="1553"/>
    <cellStyle name="Percent 2 2 8" xfId="1775"/>
    <cellStyle name="Percent 2 3" xfId="1340"/>
    <cellStyle name="Percent 2 3 2" xfId="1778"/>
    <cellStyle name="Percent 2 3 3" xfId="1777"/>
    <cellStyle name="Percent 2 4" xfId="1341"/>
    <cellStyle name="Percent 2 4 2" xfId="1780"/>
    <cellStyle name="Percent 2 4 3" xfId="1779"/>
    <cellStyle name="Percent 2 5" xfId="1774"/>
    <cellStyle name="Percent 3" xfId="1342"/>
    <cellStyle name="Percent 3 2" xfId="1343"/>
    <cellStyle name="Percent 3 2 2" xfId="1344"/>
    <cellStyle name="Percent 3 2 2 2" xfId="1345"/>
    <cellStyle name="Percent 3 2 2 2 2" xfId="1346"/>
    <cellStyle name="Percent 3 2 2 3" xfId="1347"/>
    <cellStyle name="Percent 3 2 3" xfId="1348"/>
    <cellStyle name="Percent 3 2 3 2" xfId="1349"/>
    <cellStyle name="Percent 3 2 4" xfId="1350"/>
    <cellStyle name="Percent 3 2 5" xfId="1519"/>
    <cellStyle name="Percent 3 2 6" xfId="1782"/>
    <cellStyle name="Percent 3 3" xfId="1351"/>
    <cellStyle name="Percent 3 4" xfId="1352"/>
    <cellStyle name="Percent 3 4 2" xfId="1353"/>
    <cellStyle name="Percent 3 4 2 2" xfId="1354"/>
    <cellStyle name="Percent 3 4 3" xfId="1355"/>
    <cellStyle name="Percent 3 5" xfId="1356"/>
    <cellStyle name="Percent 3 5 2" xfId="1357"/>
    <cellStyle name="Percent 3 6" xfId="1358"/>
    <cellStyle name="Percent 3 7" xfId="1510"/>
    <cellStyle name="Percent 3 8" xfId="1781"/>
    <cellStyle name="Percent 4" xfId="1359"/>
    <cellStyle name="Percent 4 2" xfId="1360"/>
    <cellStyle name="Percent 4 2 2" xfId="1521"/>
    <cellStyle name="Percent 4 2 2 2" xfId="1785"/>
    <cellStyle name="Percent 4 2 3" xfId="1784"/>
    <cellStyle name="Percent 4 3" xfId="1361"/>
    <cellStyle name="Percent 4 4" xfId="1362"/>
    <cellStyle name="Percent 4 4 2" xfId="1363"/>
    <cellStyle name="Percent 4 4 2 2" xfId="1364"/>
    <cellStyle name="Percent 4 4 3" xfId="1365"/>
    <cellStyle name="Percent 4 5" xfId="1366"/>
    <cellStyle name="Percent 4 5 2" xfId="1367"/>
    <cellStyle name="Percent 4 6" xfId="1368"/>
    <cellStyle name="Percent 4 7" xfId="1522"/>
    <cellStyle name="Percent 4 8" xfId="1783"/>
    <cellStyle name="Percent 5" xfId="1369"/>
    <cellStyle name="Percent 5 2" xfId="1370"/>
    <cellStyle name="Percent 5 2 2" xfId="1371"/>
    <cellStyle name="Percent 5 2 2 2" xfId="1372"/>
    <cellStyle name="Percent 5 2 2 2 2" xfId="1373"/>
    <cellStyle name="Percent 5 2 2 2 2 2" xfId="1374"/>
    <cellStyle name="Percent 5 2 2 2 3" xfId="1375"/>
    <cellStyle name="Percent 5 2 2 3" xfId="1376"/>
    <cellStyle name="Percent 5 2 2 3 2" xfId="1377"/>
    <cellStyle name="Percent 5 2 2 3 2 2" xfId="1378"/>
    <cellStyle name="Percent 5 2 2 3 3" xfId="1379"/>
    <cellStyle name="Percent 5 2 2 4" xfId="1380"/>
    <cellStyle name="Percent 5 2 2 4 2" xfId="1381"/>
    <cellStyle name="Percent 5 2 2 5" xfId="1382"/>
    <cellStyle name="Percent 5 2 3" xfId="1383"/>
    <cellStyle name="Percent 5 2 3 2" xfId="1384"/>
    <cellStyle name="Percent 5 2 3 2 2" xfId="1385"/>
    <cellStyle name="Percent 5 2 3 3" xfId="1386"/>
    <cellStyle name="Percent 5 2 4" xfId="1387"/>
    <cellStyle name="Percent 5 2 4 2" xfId="1388"/>
    <cellStyle name="Percent 5 2 4 2 2" xfId="1389"/>
    <cellStyle name="Percent 5 2 4 3" xfId="1390"/>
    <cellStyle name="Percent 5 2 5" xfId="1391"/>
    <cellStyle name="Percent 5 2 5 2" xfId="1392"/>
    <cellStyle name="Percent 5 2 6" xfId="1393"/>
    <cellStyle name="Percent 5 3" xfId="1394"/>
    <cellStyle name="Percent 5 3 2" xfId="1395"/>
    <cellStyle name="Percent 5 3 2 2" xfId="1396"/>
    <cellStyle name="Percent 5 3 2 2 2" xfId="1397"/>
    <cellStyle name="Percent 5 3 2 3" xfId="1398"/>
    <cellStyle name="Percent 5 3 3" xfId="1399"/>
    <cellStyle name="Percent 5 3 3 2" xfId="1400"/>
    <cellStyle name="Percent 5 3 3 2 2" xfId="1401"/>
    <cellStyle name="Percent 5 3 3 3" xfId="1402"/>
    <cellStyle name="Percent 5 3 4" xfId="1403"/>
    <cellStyle name="Percent 5 3 4 2" xfId="1404"/>
    <cellStyle name="Percent 5 3 5" xfId="1405"/>
    <cellStyle name="Percent 5 4" xfId="1406"/>
    <cellStyle name="Percent 5 4 2" xfId="1407"/>
    <cellStyle name="Percent 5 4 2 2" xfId="1408"/>
    <cellStyle name="Percent 5 4 3" xfId="1409"/>
    <cellStyle name="Percent 5 5" xfId="1410"/>
    <cellStyle name="Percent 5 5 2" xfId="1411"/>
    <cellStyle name="Percent 5 5 2 2" xfId="1412"/>
    <cellStyle name="Percent 5 5 3" xfId="1413"/>
    <cellStyle name="Percent 5 6" xfId="1414"/>
    <cellStyle name="Percent 5 6 2" xfId="1415"/>
    <cellStyle name="Percent 5 7" xfId="1416"/>
    <cellStyle name="Percent 5 8" xfId="1786"/>
    <cellStyle name="Percent 6" xfId="1417"/>
    <cellStyle name="Percent 6 2" xfId="1418"/>
    <cellStyle name="Percent 6 3" xfId="1787"/>
    <cellStyle name="Percent 7" xfId="1419"/>
    <cellStyle name="Percent 7 2" xfId="1420"/>
    <cellStyle name="Percent 7 3" xfId="1788"/>
    <cellStyle name="Percent 8" xfId="1421"/>
    <cellStyle name="Percent 9" xfId="1422"/>
    <cellStyle name="Percent 9 2" xfId="1423"/>
    <cellStyle name="Single Border" xfId="1789"/>
    <cellStyle name="TextStyle" xfId="1790"/>
    <cellStyle name="Title" xfId="1425" builtinId="15" customBuiltin="1"/>
    <cellStyle name="Title 2" xfId="1472"/>
    <cellStyle name="Title 2 2" xfId="1791"/>
    <cellStyle name="Title 3" xfId="1515"/>
    <cellStyle name="Total" xfId="1440" builtinId="25" customBuiltin="1"/>
    <cellStyle name="Total 2" xfId="1498"/>
    <cellStyle name="Total 2 2" xfId="1792"/>
    <cellStyle name="Total 3" xfId="1551"/>
    <cellStyle name="w/$" xfId="1793"/>
    <cellStyle name="w/o $" xfId="1794"/>
    <cellStyle name="Warning Text" xfId="1438" builtinId="11" customBuiltin="1"/>
    <cellStyle name="Warning Text 2" xfId="1475"/>
    <cellStyle name="Warning Text 2 2" xfId="1795"/>
    <cellStyle name="Warning Text 3" xfId="155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opy%20of%20LEA%20Summary%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 - Summary GASB75"/>
      <sheetName val="LEA - GASB 75 Shares"/>
    </sheetNames>
    <sheetDataSet>
      <sheetData sheetId="0">
        <row r="5">
          <cell r="H5">
            <v>0</v>
          </cell>
        </row>
        <row r="6">
          <cell r="H6">
            <v>558158</v>
          </cell>
        </row>
        <row r="7">
          <cell r="H7">
            <v>6248997</v>
          </cell>
        </row>
        <row r="8">
          <cell r="H8">
            <v>7366981</v>
          </cell>
        </row>
        <row r="9">
          <cell r="H9">
            <v>2717511</v>
          </cell>
        </row>
        <row r="10">
          <cell r="H10">
            <v>7909328</v>
          </cell>
        </row>
        <row r="11">
          <cell r="H11">
            <v>633894</v>
          </cell>
        </row>
        <row r="12">
          <cell r="H12">
            <v>2581966</v>
          </cell>
        </row>
        <row r="13">
          <cell r="H13">
            <v>2103165</v>
          </cell>
        </row>
        <row r="14">
          <cell r="H14">
            <v>611302</v>
          </cell>
        </row>
        <row r="15">
          <cell r="H15">
            <v>19173855</v>
          </cell>
        </row>
        <row r="16">
          <cell r="H16">
            <v>7376865</v>
          </cell>
        </row>
        <row r="17">
          <cell r="H17">
            <v>11744907</v>
          </cell>
        </row>
        <row r="18">
          <cell r="H18">
            <v>1901062</v>
          </cell>
        </row>
        <row r="19">
          <cell r="H19">
            <v>190456</v>
          </cell>
        </row>
        <row r="20">
          <cell r="H20">
            <v>14716819</v>
          </cell>
        </row>
        <row r="21">
          <cell r="H21">
            <v>11544154</v>
          </cell>
        </row>
        <row r="22">
          <cell r="H22">
            <v>0</v>
          </cell>
        </row>
        <row r="23">
          <cell r="H23">
            <v>937501</v>
          </cell>
        </row>
        <row r="24">
          <cell r="H24">
            <v>0</v>
          </cell>
        </row>
        <row r="25">
          <cell r="H25">
            <v>11774947</v>
          </cell>
        </row>
        <row r="26">
          <cell r="H26">
            <v>1046374</v>
          </cell>
        </row>
        <row r="27">
          <cell r="H27">
            <v>9007148</v>
          </cell>
        </row>
        <row r="28">
          <cell r="H28">
            <v>12633641</v>
          </cell>
        </row>
        <row r="29">
          <cell r="H29">
            <v>0</v>
          </cell>
        </row>
        <row r="30">
          <cell r="H30">
            <v>0</v>
          </cell>
        </row>
        <row r="31">
          <cell r="H31">
            <v>23493424</v>
          </cell>
        </row>
        <row r="32">
          <cell r="H32">
            <v>2092919</v>
          </cell>
        </row>
        <row r="33">
          <cell r="H33">
            <v>3629693</v>
          </cell>
        </row>
        <row r="34">
          <cell r="H34">
            <v>12410207</v>
          </cell>
        </row>
        <row r="35">
          <cell r="H35">
            <v>39510</v>
          </cell>
        </row>
        <row r="36">
          <cell r="H36">
            <v>8963850</v>
          </cell>
        </row>
        <row r="37">
          <cell r="H37">
            <v>0</v>
          </cell>
        </row>
        <row r="38">
          <cell r="H38">
            <v>6052671</v>
          </cell>
        </row>
        <row r="39">
          <cell r="H39">
            <v>270541</v>
          </cell>
        </row>
        <row r="40">
          <cell r="H40">
            <v>2447220</v>
          </cell>
        </row>
        <row r="41">
          <cell r="H41">
            <v>1594443</v>
          </cell>
        </row>
        <row r="42">
          <cell r="H42">
            <v>4887238</v>
          </cell>
        </row>
        <row r="43">
          <cell r="H43">
            <v>11724524</v>
          </cell>
        </row>
        <row r="44">
          <cell r="H44">
            <v>14951075</v>
          </cell>
        </row>
        <row r="45">
          <cell r="H45">
            <v>132652</v>
          </cell>
        </row>
        <row r="46">
          <cell r="H46">
            <v>0</v>
          </cell>
        </row>
        <row r="47">
          <cell r="H47">
            <v>0</v>
          </cell>
        </row>
        <row r="48">
          <cell r="H48">
            <v>3310917</v>
          </cell>
        </row>
        <row r="49">
          <cell r="H49">
            <v>10994769</v>
          </cell>
        </row>
        <row r="50">
          <cell r="H50">
            <v>122748</v>
          </cell>
        </row>
        <row r="51">
          <cell r="H51">
            <v>9554298</v>
          </cell>
        </row>
        <row r="52">
          <cell r="H52">
            <v>24039821</v>
          </cell>
        </row>
        <row r="53">
          <cell r="H53">
            <v>9214812</v>
          </cell>
        </row>
        <row r="54">
          <cell r="H54">
            <v>2504410</v>
          </cell>
        </row>
        <row r="55">
          <cell r="H55">
            <v>740588</v>
          </cell>
        </row>
        <row r="56">
          <cell r="H56">
            <v>34759943</v>
          </cell>
        </row>
        <row r="57">
          <cell r="H57">
            <v>1351743</v>
          </cell>
        </row>
        <row r="58">
          <cell r="H58">
            <v>5057760</v>
          </cell>
        </row>
        <row r="59">
          <cell r="H59">
            <v>11614160</v>
          </cell>
        </row>
        <row r="60">
          <cell r="H60">
            <v>0</v>
          </cell>
        </row>
        <row r="61">
          <cell r="H61">
            <v>15292122</v>
          </cell>
        </row>
        <row r="62">
          <cell r="H62">
            <v>3187112</v>
          </cell>
        </row>
        <row r="63">
          <cell r="H63">
            <v>4093870</v>
          </cell>
        </row>
        <row r="64">
          <cell r="H64">
            <v>3684099</v>
          </cell>
        </row>
        <row r="65">
          <cell r="H65">
            <v>4892342</v>
          </cell>
        </row>
        <row r="66">
          <cell r="H66">
            <v>0</v>
          </cell>
        </row>
        <row r="67">
          <cell r="H67">
            <v>1128532</v>
          </cell>
        </row>
        <row r="68">
          <cell r="H68">
            <v>2191072</v>
          </cell>
        </row>
        <row r="69">
          <cell r="H69">
            <v>6359074</v>
          </cell>
        </row>
        <row r="70">
          <cell r="H70">
            <v>1516369</v>
          </cell>
        </row>
        <row r="71">
          <cell r="H71">
            <v>1817182</v>
          </cell>
        </row>
        <row r="72">
          <cell r="H72">
            <v>22052110</v>
          </cell>
        </row>
        <row r="73">
          <cell r="H73">
            <v>20622056</v>
          </cell>
        </row>
        <row r="74">
          <cell r="H74">
            <v>9029160</v>
          </cell>
        </row>
        <row r="75">
          <cell r="H75">
            <v>0</v>
          </cell>
        </row>
        <row r="76">
          <cell r="H76">
            <v>19874708</v>
          </cell>
        </row>
        <row r="77">
          <cell r="H77">
            <v>0</v>
          </cell>
        </row>
        <row r="78">
          <cell r="H78">
            <v>51052124</v>
          </cell>
        </row>
        <row r="79">
          <cell r="H79">
            <v>1815326</v>
          </cell>
        </row>
        <row r="80">
          <cell r="H80">
            <v>6320328</v>
          </cell>
        </row>
        <row r="81">
          <cell r="H81">
            <v>23212341</v>
          </cell>
        </row>
        <row r="82">
          <cell r="H82">
            <v>0</v>
          </cell>
        </row>
        <row r="83">
          <cell r="H83">
            <v>7252347</v>
          </cell>
        </row>
        <row r="84">
          <cell r="H84">
            <v>3086381</v>
          </cell>
        </row>
        <row r="85">
          <cell r="H85">
            <v>1649536</v>
          </cell>
        </row>
        <row r="86">
          <cell r="H86">
            <v>895561</v>
          </cell>
        </row>
        <row r="87">
          <cell r="H87">
            <v>749</v>
          </cell>
        </row>
        <row r="88">
          <cell r="H88">
            <v>4122464</v>
          </cell>
        </row>
        <row r="89">
          <cell r="H89">
            <v>44995</v>
          </cell>
        </row>
        <row r="90">
          <cell r="H90">
            <v>7310671</v>
          </cell>
        </row>
        <row r="91">
          <cell r="H91">
            <v>5380378</v>
          </cell>
        </row>
        <row r="92">
          <cell r="H92">
            <v>3488013</v>
          </cell>
        </row>
        <row r="93">
          <cell r="H93">
            <v>4631907</v>
          </cell>
        </row>
        <row r="94">
          <cell r="H94">
            <v>8631138</v>
          </cell>
        </row>
        <row r="95">
          <cell r="H95">
            <v>30603657</v>
          </cell>
        </row>
        <row r="96">
          <cell r="H96">
            <v>1543968</v>
          </cell>
        </row>
        <row r="97">
          <cell r="H97">
            <v>6034642</v>
          </cell>
        </row>
        <row r="98">
          <cell r="H98">
            <v>8862590</v>
          </cell>
        </row>
        <row r="99">
          <cell r="H99">
            <v>1828749</v>
          </cell>
        </row>
        <row r="100">
          <cell r="H100">
            <v>4266857</v>
          </cell>
        </row>
        <row r="101">
          <cell r="H101">
            <v>10428633</v>
          </cell>
        </row>
        <row r="102">
          <cell r="H102">
            <v>1895608</v>
          </cell>
        </row>
        <row r="103">
          <cell r="H103">
            <v>3828329</v>
          </cell>
        </row>
        <row r="104">
          <cell r="H104">
            <v>0</v>
          </cell>
        </row>
        <row r="105">
          <cell r="H105">
            <v>0</v>
          </cell>
        </row>
        <row r="106">
          <cell r="H106">
            <v>0</v>
          </cell>
        </row>
        <row r="107">
          <cell r="H107">
            <v>7974523</v>
          </cell>
        </row>
        <row r="108">
          <cell r="H108">
            <v>1222721</v>
          </cell>
        </row>
        <row r="109">
          <cell r="H109">
            <v>10643068</v>
          </cell>
        </row>
        <row r="110">
          <cell r="H110">
            <v>4203252</v>
          </cell>
        </row>
        <row r="111">
          <cell r="H111">
            <v>1631835</v>
          </cell>
        </row>
        <row r="112">
          <cell r="H112">
            <v>6024823</v>
          </cell>
        </row>
        <row r="113">
          <cell r="H113">
            <v>1677928</v>
          </cell>
        </row>
        <row r="114">
          <cell r="H114">
            <v>1353917</v>
          </cell>
        </row>
        <row r="115">
          <cell r="H115">
            <v>1191092</v>
          </cell>
        </row>
        <row r="116">
          <cell r="H116">
            <v>4500018</v>
          </cell>
        </row>
        <row r="117">
          <cell r="H117">
            <v>0</v>
          </cell>
        </row>
        <row r="118">
          <cell r="H118">
            <v>12691498</v>
          </cell>
        </row>
        <row r="119">
          <cell r="H119">
            <v>3860746</v>
          </cell>
        </row>
        <row r="120">
          <cell r="H120">
            <v>82991</v>
          </cell>
        </row>
        <row r="121">
          <cell r="H121">
            <v>12836706</v>
          </cell>
        </row>
        <row r="122">
          <cell r="H122">
            <v>30825345</v>
          </cell>
        </row>
        <row r="123">
          <cell r="H123">
            <v>1056511</v>
          </cell>
        </row>
        <row r="124">
          <cell r="H124">
            <v>298409</v>
          </cell>
        </row>
        <row r="125">
          <cell r="H125">
            <v>6660565</v>
          </cell>
        </row>
        <row r="126">
          <cell r="H126">
            <v>1847113</v>
          </cell>
        </row>
        <row r="127">
          <cell r="H127">
            <v>33220132</v>
          </cell>
        </row>
        <row r="128">
          <cell r="H128">
            <v>4247087</v>
          </cell>
        </row>
        <row r="129">
          <cell r="H129">
            <v>2117562</v>
          </cell>
        </row>
        <row r="130">
          <cell r="H130">
            <v>30287334</v>
          </cell>
        </row>
        <row r="131">
          <cell r="H131">
            <v>0</v>
          </cell>
        </row>
        <row r="132">
          <cell r="H132">
            <v>2044979</v>
          </cell>
        </row>
        <row r="133">
          <cell r="H133">
            <v>1217902</v>
          </cell>
        </row>
        <row r="134">
          <cell r="H134">
            <v>12211818</v>
          </cell>
        </row>
        <row r="135">
          <cell r="H135">
            <v>0</v>
          </cell>
        </row>
        <row r="136">
          <cell r="H136">
            <v>0</v>
          </cell>
        </row>
        <row r="137">
          <cell r="H137">
            <v>0</v>
          </cell>
        </row>
        <row r="138">
          <cell r="H138">
            <v>1303019</v>
          </cell>
        </row>
        <row r="139">
          <cell r="H139">
            <v>6766947</v>
          </cell>
        </row>
        <row r="140">
          <cell r="H140">
            <v>3550658</v>
          </cell>
        </row>
        <row r="141">
          <cell r="H141">
            <v>1646201</v>
          </cell>
        </row>
        <row r="142">
          <cell r="H142">
            <v>3628319</v>
          </cell>
        </row>
        <row r="143">
          <cell r="H143">
            <v>1963704</v>
          </cell>
        </row>
        <row r="144">
          <cell r="H144">
            <v>1011251</v>
          </cell>
        </row>
        <row r="145">
          <cell r="H145">
            <v>6164994</v>
          </cell>
        </row>
        <row r="146">
          <cell r="H146">
            <v>10491727</v>
          </cell>
        </row>
        <row r="147">
          <cell r="H147">
            <v>6649875</v>
          </cell>
        </row>
        <row r="148">
          <cell r="H148">
            <v>5152334</v>
          </cell>
        </row>
        <row r="149">
          <cell r="H149">
            <v>5478920</v>
          </cell>
        </row>
        <row r="150">
          <cell r="H150">
            <v>0</v>
          </cell>
        </row>
      </sheetData>
      <sheetData sheetId="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2"/>
  <sheetViews>
    <sheetView topLeftCell="A79" workbookViewId="0">
      <selection activeCell="A86" sqref="A86:I86"/>
    </sheetView>
  </sheetViews>
  <sheetFormatPr defaultRowHeight="15"/>
  <cols>
    <col min="1" max="1" width="41.140625" customWidth="1"/>
    <col min="6" max="6" width="18.85546875" style="148" customWidth="1"/>
    <col min="7" max="8" width="9.140625" style="139"/>
    <col min="9" max="9" width="20" style="148" customWidth="1"/>
    <col min="10" max="11" width="9.140625" style="139"/>
  </cols>
  <sheetData>
    <row r="1" spans="1:11">
      <c r="A1" s="260" t="s">
        <v>421</v>
      </c>
      <c r="B1" s="260"/>
      <c r="C1" s="260"/>
      <c r="D1" s="260"/>
      <c r="E1" s="260"/>
      <c r="F1" s="260"/>
      <c r="G1" s="260"/>
      <c r="H1" s="260"/>
      <c r="I1" s="260"/>
    </row>
    <row r="2" spans="1:11">
      <c r="A2" s="261" t="s">
        <v>420</v>
      </c>
      <c r="B2" s="261"/>
      <c r="C2" s="261"/>
      <c r="D2" s="261"/>
      <c r="E2" s="261"/>
      <c r="F2" s="261"/>
      <c r="G2" s="261"/>
      <c r="H2" s="261"/>
      <c r="I2" s="261"/>
    </row>
    <row r="3" spans="1:11">
      <c r="A3" s="46"/>
      <c r="B3" s="46"/>
      <c r="C3" s="46"/>
      <c r="D3" s="46"/>
      <c r="E3" s="46"/>
      <c r="F3" s="135"/>
      <c r="G3" s="135"/>
      <c r="H3" s="135"/>
      <c r="I3" s="135"/>
    </row>
    <row r="4" spans="1:11" s="132" customFormat="1" ht="31.5" customHeight="1">
      <c r="A4" s="262" t="s">
        <v>422</v>
      </c>
      <c r="B4" s="262"/>
      <c r="C4" s="262"/>
      <c r="D4" s="262"/>
      <c r="E4" s="262"/>
      <c r="F4" s="262"/>
      <c r="G4" s="262"/>
      <c r="H4" s="262"/>
      <c r="I4" s="262"/>
      <c r="J4" s="139"/>
      <c r="K4" s="139"/>
    </row>
    <row r="6" spans="1:11">
      <c r="A6" s="5" t="s">
        <v>158</v>
      </c>
    </row>
    <row r="7" spans="1:11">
      <c r="A7" s="6" t="s">
        <v>250</v>
      </c>
      <c r="F7" s="149" t="s">
        <v>159</v>
      </c>
      <c r="I7" s="149" t="s">
        <v>160</v>
      </c>
    </row>
    <row r="9" spans="1:11" ht="63.75" customHeight="1">
      <c r="A9" s="258" t="s">
        <v>509</v>
      </c>
      <c r="B9" s="258"/>
      <c r="C9" s="258"/>
      <c r="D9" s="258"/>
      <c r="E9" s="258"/>
      <c r="F9" s="258"/>
      <c r="G9" s="258"/>
      <c r="H9" s="258"/>
      <c r="I9" s="258"/>
    </row>
    <row r="11" spans="1:11">
      <c r="A11" t="s">
        <v>161</v>
      </c>
      <c r="F11" s="148" t="s">
        <v>423</v>
      </c>
    </row>
    <row r="12" spans="1:11">
      <c r="A12" t="s">
        <v>162</v>
      </c>
      <c r="E12" s="7"/>
      <c r="I12" s="148" t="s">
        <v>423</v>
      </c>
    </row>
    <row r="13" spans="1:11">
      <c r="A13" t="s">
        <v>163</v>
      </c>
    </row>
    <row r="15" spans="1:11">
      <c r="A15" t="s">
        <v>164</v>
      </c>
      <c r="F15" s="150">
        <f>I16</f>
        <v>453131.519172</v>
      </c>
      <c r="G15" s="173"/>
      <c r="H15" s="173"/>
      <c r="I15" s="150"/>
    </row>
    <row r="16" spans="1:11">
      <c r="A16" t="s">
        <v>165</v>
      </c>
      <c r="F16" s="150"/>
      <c r="G16" s="173"/>
      <c r="H16" s="173"/>
      <c r="I16" s="150">
        <f>VLOOKUP($A$7,'LEA Pre-65 (2)'!$B:$EC,2,FALSE)-VLOOKUP($A$7,'LEA Pre-65 (2)'!$B:$CY,3,FALSE)</f>
        <v>453131.519172</v>
      </c>
    </row>
    <row r="17" spans="1:9">
      <c r="A17" t="s">
        <v>166</v>
      </c>
    </row>
    <row r="19" spans="1:9" ht="81.75" customHeight="1">
      <c r="A19" s="263" t="s">
        <v>510</v>
      </c>
      <c r="B19" s="263"/>
      <c r="C19" s="263"/>
      <c r="D19" s="263"/>
      <c r="E19" s="263"/>
      <c r="F19" s="263"/>
      <c r="G19" s="263"/>
      <c r="H19" s="263"/>
      <c r="I19" s="263"/>
    </row>
    <row r="21" spans="1:9">
      <c r="A21" t="s">
        <v>167</v>
      </c>
      <c r="F21" s="150">
        <f>-VLOOKUP($A$7,'LEA Pre-65 (1)'!$B:$ED,20,FALSE)*VLOOKUP($A$7,'LEA Pre-65 (2)'!$B:$CY,7,FALSE)</f>
        <v>19438.589734000001</v>
      </c>
    </row>
    <row r="22" spans="1:9">
      <c r="A22" t="s">
        <v>162</v>
      </c>
      <c r="I22" s="150">
        <f>F21</f>
        <v>19438.589734000001</v>
      </c>
    </row>
    <row r="24" spans="1:9" ht="32.25" customHeight="1">
      <c r="A24" s="258" t="s">
        <v>512</v>
      </c>
      <c r="B24" s="258"/>
      <c r="C24" s="258"/>
      <c r="D24" s="258"/>
      <c r="E24" s="258"/>
      <c r="F24" s="258"/>
      <c r="G24" s="258"/>
      <c r="H24" s="258"/>
      <c r="I24" s="258"/>
    </row>
    <row r="26" spans="1:9">
      <c r="A26" t="s">
        <v>168</v>
      </c>
      <c r="F26" s="150">
        <f>VLOOKUP($A$7,'LEA Pre-65 (2)'!$B:$EC,11,FALSE)</f>
        <v>41006</v>
      </c>
    </row>
    <row r="27" spans="1:9">
      <c r="A27" t="s">
        <v>165</v>
      </c>
      <c r="I27" s="150">
        <f>F26</f>
        <v>41006</v>
      </c>
    </row>
    <row r="29" spans="1:9" ht="42" customHeight="1">
      <c r="A29" s="257" t="s">
        <v>511</v>
      </c>
      <c r="B29" s="257"/>
      <c r="C29" s="257"/>
      <c r="D29" s="257"/>
      <c r="E29" s="257"/>
      <c r="F29" s="257"/>
      <c r="G29" s="257"/>
      <c r="H29" s="257"/>
      <c r="I29" s="257"/>
    </row>
    <row r="31" spans="1:9">
      <c r="A31" t="s">
        <v>161</v>
      </c>
      <c r="F31" s="150">
        <f>I32</f>
        <v>11693</v>
      </c>
    </row>
    <row r="32" spans="1:9">
      <c r="A32" t="s">
        <v>207</v>
      </c>
      <c r="I32" s="150">
        <f>VLOOKUP($A$7,'LEA Pre-65 (2)'!$B:$EC,12,FALSE)</f>
        <v>11693</v>
      </c>
    </row>
    <row r="34" spans="1:9" ht="76.5" customHeight="1">
      <c r="A34" s="258" t="s">
        <v>513</v>
      </c>
      <c r="B34" s="258"/>
      <c r="C34" s="258"/>
      <c r="D34" s="258"/>
      <c r="E34" s="258"/>
      <c r="F34" s="258"/>
      <c r="G34" s="258"/>
      <c r="H34" s="258"/>
      <c r="I34" s="258"/>
    </row>
    <row r="36" spans="1:9">
      <c r="A36" t="s">
        <v>161</v>
      </c>
      <c r="F36" s="148">
        <f>I37</f>
        <v>0</v>
      </c>
    </row>
    <row r="37" spans="1:9">
      <c r="A37" t="s">
        <v>182</v>
      </c>
      <c r="I37" s="150">
        <f>VLOOKUP($A$7,'LEA Pre-65 (1)'!$B:$ED,18,FALSE)*VLOOKUP($A$7,'LEA Pre-65 (2)'!$B:$CY,7,FALSE)</f>
        <v>0</v>
      </c>
    </row>
    <row r="39" spans="1:9" ht="81" customHeight="1">
      <c r="A39" s="258" t="s">
        <v>514</v>
      </c>
      <c r="B39" s="258"/>
      <c r="C39" s="258"/>
      <c r="D39" s="258"/>
      <c r="E39" s="258"/>
      <c r="F39" s="258"/>
      <c r="G39" s="258"/>
      <c r="H39" s="258"/>
      <c r="I39" s="258"/>
    </row>
    <row r="41" spans="1:9">
      <c r="A41" t="s">
        <v>183</v>
      </c>
      <c r="F41" s="150">
        <f>VLOOKUP($A$7,'LEA Pre-65 (1)'!$B:$ED,22,FALSE)*VLOOKUP($A$7,'LEA Pre-65 (2)'!$B:$CY,7,FALSE)</f>
        <v>0</v>
      </c>
    </row>
    <row r="42" spans="1:9">
      <c r="A42" t="s">
        <v>165</v>
      </c>
      <c r="I42" s="148">
        <f>F41</f>
        <v>0</v>
      </c>
    </row>
    <row r="44" spans="1:9" ht="93" customHeight="1">
      <c r="A44" s="258" t="s">
        <v>515</v>
      </c>
      <c r="B44" s="258"/>
      <c r="C44" s="258"/>
      <c r="D44" s="258"/>
      <c r="E44" s="258"/>
      <c r="F44" s="258"/>
      <c r="G44" s="258"/>
      <c r="H44" s="258"/>
      <c r="I44" s="258"/>
    </row>
    <row r="46" spans="1:9">
      <c r="A46" t="s">
        <v>161</v>
      </c>
      <c r="F46" s="150">
        <f>I47</f>
        <v>20211.329611999998</v>
      </c>
    </row>
    <row r="47" spans="1:9">
      <c r="A47" t="s">
        <v>169</v>
      </c>
      <c r="I47" s="150">
        <f>-VLOOKUP($A$7,'LEA Pre-65 (1)'!$B:$ED,19,FALSE)*VLOOKUP($A$7,'LEA Pre-65 (2)'!$B:$CY,7,FALSE)</f>
        <v>20211.329611999998</v>
      </c>
    </row>
    <row r="48" spans="1:9">
      <c r="A48" s="136" t="s">
        <v>425</v>
      </c>
    </row>
    <row r="49" spans="1:11" s="133" customFormat="1">
      <c r="F49" s="148"/>
      <c r="G49" s="139"/>
      <c r="H49" s="139"/>
      <c r="I49" s="148"/>
      <c r="J49" s="139"/>
      <c r="K49" s="139"/>
    </row>
    <row r="50" spans="1:11" ht="92.25" customHeight="1">
      <c r="A50" s="258" t="s">
        <v>516</v>
      </c>
      <c r="B50" s="258"/>
      <c r="C50" s="258"/>
      <c r="D50" s="258"/>
      <c r="E50" s="258"/>
      <c r="F50" s="258"/>
      <c r="G50" s="258"/>
      <c r="H50" s="258"/>
      <c r="I50" s="258"/>
    </row>
    <row r="52" spans="1:11">
      <c r="A52" t="s">
        <v>170</v>
      </c>
      <c r="F52" s="150">
        <f>-VLOOKUP($A$7,'LEA Pre-65 (1)'!$B:$ED,23,FALSE)*VLOOKUP($A$7,'LEA Pre-65 (2)'!$B:$CY,7,FALSE)</f>
        <v>1871.445884</v>
      </c>
    </row>
    <row r="53" spans="1:11">
      <c r="A53" t="s">
        <v>165</v>
      </c>
      <c r="I53" s="150">
        <f>F52</f>
        <v>1871.445884</v>
      </c>
    </row>
    <row r="54" spans="1:11" s="136" customFormat="1">
      <c r="A54" s="136" t="s">
        <v>425</v>
      </c>
      <c r="F54" s="148"/>
      <c r="G54" s="139"/>
      <c r="H54" s="139"/>
      <c r="I54" s="148"/>
      <c r="J54" s="139"/>
      <c r="K54" s="139"/>
    </row>
    <row r="56" spans="1:11" s="139" customFormat="1" ht="76.5" customHeight="1">
      <c r="A56" s="259" t="s">
        <v>517</v>
      </c>
      <c r="B56" s="259"/>
      <c r="C56" s="259"/>
      <c r="D56" s="259"/>
      <c r="E56" s="259"/>
      <c r="F56" s="259"/>
      <c r="G56" s="259"/>
      <c r="H56" s="259"/>
      <c r="I56" s="259"/>
    </row>
    <row r="57" spans="1:11" s="139" customFormat="1">
      <c r="F57" s="148"/>
      <c r="I57" s="148"/>
    </row>
    <row r="58" spans="1:11" s="139" customFormat="1">
      <c r="A58" s="139" t="s">
        <v>161</v>
      </c>
      <c r="F58" s="148">
        <v>0</v>
      </c>
      <c r="I58" s="148"/>
    </row>
    <row r="59" spans="1:11" s="139" customFormat="1">
      <c r="A59" s="139" t="s">
        <v>184</v>
      </c>
      <c r="F59" s="148"/>
      <c r="I59" s="148">
        <v>0</v>
      </c>
    </row>
    <row r="60" spans="1:11" s="139" customFormat="1">
      <c r="F60" s="148"/>
      <c r="I60" s="148"/>
    </row>
    <row r="61" spans="1:11" s="139" customFormat="1" ht="75" customHeight="1">
      <c r="A61" s="257" t="s">
        <v>518</v>
      </c>
      <c r="B61" s="257"/>
      <c r="C61" s="257"/>
      <c r="D61" s="257"/>
      <c r="E61" s="257"/>
      <c r="F61" s="257"/>
      <c r="G61" s="257"/>
      <c r="H61" s="257"/>
      <c r="I61" s="257"/>
    </row>
    <row r="62" spans="1:11" s="139" customFormat="1">
      <c r="F62" s="148"/>
      <c r="I62" s="148"/>
    </row>
    <row r="63" spans="1:11" s="139" customFormat="1">
      <c r="A63" s="139" t="s">
        <v>185</v>
      </c>
      <c r="F63" s="148">
        <v>0</v>
      </c>
      <c r="I63" s="148"/>
    </row>
    <row r="64" spans="1:11" s="139" customFormat="1">
      <c r="A64" s="139" t="s">
        <v>165</v>
      </c>
      <c r="F64" s="148"/>
      <c r="I64" s="148">
        <v>0</v>
      </c>
    </row>
    <row r="65" spans="1:9" s="139" customFormat="1">
      <c r="F65" s="148"/>
      <c r="I65" s="148"/>
    </row>
    <row r="66" spans="1:9" s="139" customFormat="1" ht="102" customHeight="1">
      <c r="A66" s="259" t="s">
        <v>519</v>
      </c>
      <c r="B66" s="259"/>
      <c r="C66" s="259"/>
      <c r="D66" s="259"/>
      <c r="E66" s="259"/>
      <c r="F66" s="259"/>
      <c r="G66" s="259"/>
      <c r="H66" s="259"/>
      <c r="I66" s="259"/>
    </row>
    <row r="67" spans="1:9" s="139" customFormat="1">
      <c r="F67" s="148"/>
      <c r="I67" s="148"/>
    </row>
    <row r="68" spans="1:9" s="139" customFormat="1">
      <c r="A68" s="139" t="s">
        <v>161</v>
      </c>
      <c r="F68" s="148">
        <v>0</v>
      </c>
      <c r="I68" s="148"/>
    </row>
    <row r="69" spans="1:9" s="139" customFormat="1">
      <c r="A69" s="139" t="s">
        <v>186</v>
      </c>
      <c r="F69" s="148"/>
      <c r="I69" s="148">
        <v>0</v>
      </c>
    </row>
    <row r="70" spans="1:9" s="139" customFormat="1">
      <c r="F70" s="148"/>
      <c r="I70" s="148"/>
    </row>
    <row r="71" spans="1:9" s="139" customFormat="1" ht="95.25" customHeight="1">
      <c r="A71" s="257" t="s">
        <v>520</v>
      </c>
      <c r="B71" s="257"/>
      <c r="C71" s="257"/>
      <c r="D71" s="257"/>
      <c r="E71" s="257"/>
      <c r="F71" s="257"/>
      <c r="G71" s="257"/>
      <c r="H71" s="257"/>
      <c r="I71" s="257"/>
    </row>
    <row r="72" spans="1:9" s="139" customFormat="1">
      <c r="F72" s="148"/>
      <c r="I72" s="148"/>
    </row>
    <row r="73" spans="1:9" s="139" customFormat="1">
      <c r="A73" s="139" t="s">
        <v>187</v>
      </c>
      <c r="F73" s="148">
        <v>0</v>
      </c>
      <c r="I73" s="148"/>
    </row>
    <row r="74" spans="1:9" s="139" customFormat="1">
      <c r="A74" s="139" t="s">
        <v>165</v>
      </c>
      <c r="F74" s="148"/>
      <c r="I74" s="148">
        <f>F73</f>
        <v>0</v>
      </c>
    </row>
    <row r="75" spans="1:9" s="139" customFormat="1">
      <c r="F75" s="148"/>
      <c r="I75" s="148"/>
    </row>
    <row r="76" spans="1:9" s="139" customFormat="1" ht="78.75" customHeight="1">
      <c r="A76" s="257" t="s">
        <v>521</v>
      </c>
      <c r="B76" s="257"/>
      <c r="C76" s="257"/>
      <c r="D76" s="257"/>
      <c r="E76" s="257"/>
      <c r="F76" s="257"/>
      <c r="G76" s="257"/>
      <c r="H76" s="257"/>
      <c r="I76" s="257"/>
    </row>
    <row r="77" spans="1:9" s="139" customFormat="1">
      <c r="F77" s="148"/>
      <c r="I77" s="148"/>
    </row>
    <row r="78" spans="1:9" s="139" customFormat="1">
      <c r="A78" s="139" t="s">
        <v>161</v>
      </c>
      <c r="F78" s="150">
        <f>I79</f>
        <v>19438.589734000001</v>
      </c>
      <c r="I78" s="148"/>
    </row>
    <row r="79" spans="1:9" s="139" customFormat="1">
      <c r="A79" s="139" t="s">
        <v>171</v>
      </c>
      <c r="F79" s="148"/>
      <c r="I79" s="150">
        <f>-VLOOKUP($A$7,'LEA Pre-65 (1)'!$B:$ED,20,FALSE)*VLOOKUP($A$7,'LEA Pre-65 (2)'!$B:$CY,7,FALSE)</f>
        <v>19438.589734000001</v>
      </c>
    </row>
    <row r="80" spans="1:9" s="139" customFormat="1">
      <c r="F80" s="148"/>
      <c r="I80" s="148"/>
    </row>
    <row r="81" spans="1:9" s="139" customFormat="1" ht="48.75" customHeight="1">
      <c r="A81" s="257" t="s">
        <v>522</v>
      </c>
      <c r="B81" s="257"/>
      <c r="C81" s="257"/>
      <c r="D81" s="257"/>
      <c r="E81" s="257"/>
      <c r="F81" s="257"/>
      <c r="G81" s="257"/>
      <c r="H81" s="257"/>
      <c r="I81" s="257"/>
    </row>
    <row r="82" spans="1:9" s="139" customFormat="1">
      <c r="F82" s="148"/>
      <c r="I82" s="148"/>
    </row>
    <row r="83" spans="1:9" s="139" customFormat="1">
      <c r="A83" s="139" t="s">
        <v>167</v>
      </c>
      <c r="F83" s="150">
        <f>-VLOOKUP($A$7,'LEA Pre-65 (2)'!$B:$CY,46,FALSE)</f>
        <v>20288</v>
      </c>
      <c r="I83" s="148"/>
    </row>
    <row r="84" spans="1:9" s="139" customFormat="1">
      <c r="A84" s="139" t="s">
        <v>172</v>
      </c>
      <c r="F84" s="148"/>
      <c r="I84" s="150">
        <f>F83</f>
        <v>20288</v>
      </c>
    </row>
    <row r="85" spans="1:9" s="139" customFormat="1">
      <c r="F85" s="148"/>
      <c r="I85" s="148"/>
    </row>
    <row r="86" spans="1:9" s="139" customFormat="1" ht="45" customHeight="1">
      <c r="A86" s="257" t="s">
        <v>523</v>
      </c>
      <c r="B86" s="257"/>
      <c r="C86" s="257"/>
      <c r="D86" s="257"/>
      <c r="E86" s="257"/>
      <c r="F86" s="257"/>
      <c r="G86" s="257"/>
      <c r="H86" s="257"/>
      <c r="I86" s="257"/>
    </row>
    <row r="87" spans="1:9" s="139" customFormat="1">
      <c r="F87" s="148"/>
      <c r="I87" s="148"/>
    </row>
    <row r="88" spans="1:9" s="139" customFormat="1">
      <c r="A88" s="139" t="s">
        <v>173</v>
      </c>
      <c r="F88" s="150">
        <f>-VLOOKUP($A$7,'LEA Pre-65 (2)'!$B:$CY,45,FALSE)</f>
        <v>7618</v>
      </c>
      <c r="I88" s="148"/>
    </row>
    <row r="89" spans="1:9" s="139" customFormat="1">
      <c r="A89" s="139" t="s">
        <v>174</v>
      </c>
      <c r="F89" s="148"/>
      <c r="I89" s="150">
        <f>F88</f>
        <v>7618</v>
      </c>
    </row>
    <row r="90" spans="1:9" s="139" customFormat="1">
      <c r="F90" s="148"/>
      <c r="I90" s="148"/>
    </row>
    <row r="91" spans="1:9" s="139" customFormat="1" ht="15.75" thickBot="1">
      <c r="F91" s="148"/>
      <c r="I91" s="148"/>
    </row>
    <row r="92" spans="1:9" s="139" customFormat="1">
      <c r="A92" s="129" t="s">
        <v>175</v>
      </c>
      <c r="B92" s="163"/>
      <c r="C92" s="163"/>
      <c r="D92" s="163"/>
      <c r="E92" s="163"/>
      <c r="F92" s="162"/>
      <c r="G92" s="163"/>
      <c r="H92" s="163"/>
      <c r="I92" s="134">
        <f>I16+I27-F46+I53-F78-F31</f>
        <v>444666.04571000003</v>
      </c>
    </row>
    <row r="93" spans="1:9" s="139" customFormat="1">
      <c r="A93" s="130" t="s">
        <v>176</v>
      </c>
      <c r="B93" s="165"/>
      <c r="C93" s="165"/>
      <c r="D93" s="165"/>
      <c r="E93" s="165"/>
      <c r="F93" s="164"/>
      <c r="G93" s="165"/>
      <c r="H93" s="165"/>
      <c r="I93" s="126">
        <f>VLOOKUP($A$7,'LEA Pre-65 (2)'!$B:$CY,10,FALSE)</f>
        <v>444666</v>
      </c>
    </row>
    <row r="94" spans="1:9" s="139" customFormat="1">
      <c r="A94" s="130"/>
      <c r="B94" s="165"/>
      <c r="C94" s="165"/>
      <c r="D94" s="165"/>
      <c r="E94" s="165"/>
      <c r="F94" s="164"/>
      <c r="G94" s="165"/>
      <c r="H94" s="165"/>
      <c r="I94" s="126">
        <f>I92-I93</f>
        <v>4.5710000034887344E-2</v>
      </c>
    </row>
    <row r="95" spans="1:9" s="139" customFormat="1">
      <c r="A95" s="130" t="s">
        <v>177</v>
      </c>
      <c r="B95" s="165"/>
      <c r="C95" s="165"/>
      <c r="D95" s="165"/>
      <c r="E95" s="165"/>
      <c r="F95" s="164"/>
      <c r="G95" s="165"/>
      <c r="H95" s="165"/>
      <c r="I95" s="126">
        <f>I27-F46+I53-F78-F31</f>
        <v>-8465.4734619999981</v>
      </c>
    </row>
    <row r="96" spans="1:9">
      <c r="A96" s="143" t="s">
        <v>178</v>
      </c>
      <c r="B96" s="144"/>
      <c r="C96" s="144"/>
      <c r="D96" s="144"/>
      <c r="E96" s="144"/>
      <c r="F96" s="164"/>
      <c r="G96" s="165"/>
      <c r="H96" s="165"/>
      <c r="I96" s="126">
        <f>VLOOKUP($A$7,'LEA Pre-65 (2)'!$B:$CY,60,FALSE)</f>
        <v>-8465.5191720000003</v>
      </c>
    </row>
    <row r="97" spans="1:9">
      <c r="A97" s="143"/>
      <c r="B97" s="144"/>
      <c r="C97" s="144"/>
      <c r="D97" s="144"/>
      <c r="E97" s="144"/>
      <c r="F97" s="164"/>
      <c r="G97" s="165"/>
      <c r="H97" s="165"/>
      <c r="I97" s="126">
        <f>I95-I96</f>
        <v>4.5710000002145534E-2</v>
      </c>
    </row>
    <row r="98" spans="1:9">
      <c r="A98" s="143"/>
      <c r="B98" s="144"/>
      <c r="C98" s="144"/>
      <c r="D98" s="144"/>
      <c r="E98" s="144"/>
      <c r="F98" s="164"/>
      <c r="G98" s="165"/>
      <c r="H98" s="165"/>
      <c r="I98" s="166"/>
    </row>
    <row r="99" spans="1:9">
      <c r="A99" s="145" t="s">
        <v>179</v>
      </c>
      <c r="B99" s="144"/>
      <c r="C99" s="144"/>
      <c r="D99" s="144"/>
      <c r="E99" s="144"/>
      <c r="F99" s="164"/>
      <c r="G99" s="165"/>
      <c r="H99" s="165"/>
      <c r="I99" s="166"/>
    </row>
    <row r="100" spans="1:9">
      <c r="A100" s="143"/>
      <c r="B100" s="144"/>
      <c r="C100" s="144"/>
      <c r="D100" s="144"/>
      <c r="E100" s="144"/>
      <c r="F100" s="164"/>
      <c r="G100" s="165"/>
      <c r="H100" s="165"/>
      <c r="I100" s="166"/>
    </row>
    <row r="101" spans="1:9">
      <c r="A101" s="143" t="s">
        <v>426</v>
      </c>
      <c r="B101" s="144"/>
      <c r="C101" s="144"/>
      <c r="D101" s="144"/>
      <c r="E101" s="144"/>
      <c r="F101" s="164"/>
      <c r="G101" s="165"/>
      <c r="H101" s="165"/>
      <c r="I101" s="166"/>
    </row>
    <row r="102" spans="1:9" ht="15.75" thickBot="1">
      <c r="A102" s="146" t="s">
        <v>427</v>
      </c>
      <c r="B102" s="147"/>
      <c r="C102" s="147"/>
      <c r="D102" s="147"/>
      <c r="E102" s="147"/>
      <c r="F102" s="167"/>
      <c r="G102" s="168"/>
      <c r="H102" s="168"/>
      <c r="I102" s="169"/>
    </row>
  </sheetData>
  <mergeCells count="18">
    <mergeCell ref="A1:I1"/>
    <mergeCell ref="A2:I2"/>
    <mergeCell ref="A4:I4"/>
    <mergeCell ref="A9:I9"/>
    <mergeCell ref="A19:I19"/>
    <mergeCell ref="A24:I24"/>
    <mergeCell ref="A44:I44"/>
    <mergeCell ref="A29:I29"/>
    <mergeCell ref="A76:I76"/>
    <mergeCell ref="A81:I81"/>
    <mergeCell ref="A86:I86"/>
    <mergeCell ref="A34:I34"/>
    <mergeCell ref="A39:I39"/>
    <mergeCell ref="A56:I56"/>
    <mergeCell ref="A61:I61"/>
    <mergeCell ref="A66:I66"/>
    <mergeCell ref="A71:I71"/>
    <mergeCell ref="A50:I50"/>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14:formula1>
            <xm:f>'LEA Pre-65 (1)'!$B$5:$B$150</xm:f>
          </x14:formula1>
          <xm:sqref>A7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1"/>
  <sheetViews>
    <sheetView topLeftCell="A4" workbookViewId="0">
      <pane ySplit="4" topLeftCell="A56" activePane="bottomLeft" state="frozen"/>
      <selection activeCell="A4" sqref="A4"/>
      <selection pane="bottomLeft" activeCell="I88" sqref="I88"/>
    </sheetView>
  </sheetViews>
  <sheetFormatPr defaultRowHeight="15"/>
  <cols>
    <col min="1" max="1" width="41.140625" customWidth="1"/>
    <col min="6" max="6" width="18.7109375" style="148" customWidth="1"/>
    <col min="7" max="8" width="9.140625" style="139"/>
    <col min="9" max="9" width="19.7109375" style="148" customWidth="1"/>
  </cols>
  <sheetData>
    <row r="1" spans="1:11" s="191" customFormat="1">
      <c r="A1" s="260" t="s">
        <v>472</v>
      </c>
      <c r="B1" s="260"/>
      <c r="C1" s="260"/>
      <c r="D1" s="260"/>
      <c r="E1" s="260"/>
      <c r="F1" s="260"/>
      <c r="G1" s="260"/>
      <c r="H1" s="260"/>
      <c r="I1" s="260"/>
      <c r="J1" s="139"/>
      <c r="K1" s="139"/>
    </row>
    <row r="2" spans="1:11" s="191" customFormat="1">
      <c r="A2" s="261" t="s">
        <v>420</v>
      </c>
      <c r="B2" s="261"/>
      <c r="C2" s="261"/>
      <c r="D2" s="261"/>
      <c r="E2" s="261"/>
      <c r="F2" s="261"/>
      <c r="G2" s="261"/>
      <c r="H2" s="261"/>
      <c r="I2" s="261"/>
      <c r="J2" s="139"/>
      <c r="K2" s="139"/>
    </row>
    <row r="3" spans="1:11" s="191" customFormat="1">
      <c r="A3" s="252"/>
      <c r="B3" s="252"/>
      <c r="C3" s="252"/>
      <c r="D3" s="252"/>
      <c r="E3" s="252"/>
      <c r="F3" s="135"/>
      <c r="G3" s="135"/>
      <c r="H3" s="135"/>
      <c r="I3" s="135"/>
      <c r="J3" s="139"/>
      <c r="K3" s="139"/>
    </row>
    <row r="4" spans="1:11" s="191" customFormat="1" ht="31.5" customHeight="1">
      <c r="A4" s="262" t="s">
        <v>422</v>
      </c>
      <c r="B4" s="262"/>
      <c r="C4" s="262"/>
      <c r="D4" s="262"/>
      <c r="E4" s="262"/>
      <c r="F4" s="262"/>
      <c r="G4" s="262"/>
      <c r="H4" s="262"/>
      <c r="I4" s="262"/>
      <c r="J4" s="139"/>
      <c r="K4" s="139"/>
    </row>
    <row r="5" spans="1:11" s="191" customFormat="1">
      <c r="F5" s="148"/>
      <c r="G5" s="139"/>
      <c r="H5" s="139"/>
      <c r="I5" s="148"/>
      <c r="J5" s="139"/>
      <c r="K5" s="139"/>
    </row>
    <row r="6" spans="1:11" s="191" customFormat="1">
      <c r="A6" s="142" t="s">
        <v>158</v>
      </c>
      <c r="F6" s="148"/>
      <c r="G6" s="139"/>
      <c r="H6" s="139"/>
      <c r="I6" s="148"/>
      <c r="J6" s="139"/>
      <c r="K6" s="139"/>
    </row>
    <row r="7" spans="1:11">
      <c r="A7" s="253" t="s">
        <v>249</v>
      </c>
      <c r="F7" s="149" t="s">
        <v>159</v>
      </c>
      <c r="I7" s="149" t="s">
        <v>160</v>
      </c>
    </row>
    <row r="9" spans="1:11" ht="63.75" customHeight="1">
      <c r="A9" s="258" t="s">
        <v>509</v>
      </c>
      <c r="B9" s="258"/>
      <c r="C9" s="258"/>
      <c r="D9" s="258"/>
      <c r="E9" s="258"/>
      <c r="F9" s="258"/>
      <c r="G9" s="258"/>
      <c r="H9" s="258"/>
      <c r="I9" s="258"/>
    </row>
    <row r="11" spans="1:11">
      <c r="A11" t="s">
        <v>161</v>
      </c>
      <c r="F11" s="148" t="s">
        <v>423</v>
      </c>
    </row>
    <row r="12" spans="1:11">
      <c r="A12" t="s">
        <v>162</v>
      </c>
      <c r="E12" s="7"/>
      <c r="I12" s="148" t="str">
        <f>F11</f>
        <v>Employer Provided</v>
      </c>
    </row>
    <row r="13" spans="1:11">
      <c r="A13" t="s">
        <v>163</v>
      </c>
    </row>
    <row r="15" spans="1:11">
      <c r="A15" t="s">
        <v>164</v>
      </c>
      <c r="F15" s="150">
        <f>I16</f>
        <v>0</v>
      </c>
    </row>
    <row r="16" spans="1:11">
      <c r="A16" t="s">
        <v>165</v>
      </c>
      <c r="I16" s="150">
        <f>VLOOKUP($A$7,'LEA Post-65 (2)'!$B:$EC,59,FALSE)</f>
        <v>0</v>
      </c>
    </row>
    <row r="17" spans="1:12">
      <c r="A17" t="s">
        <v>166</v>
      </c>
    </row>
    <row r="18" spans="1:12" s="191" customFormat="1" ht="66" customHeight="1">
      <c r="A18" s="264" t="s">
        <v>473</v>
      </c>
      <c r="B18" s="264"/>
      <c r="C18" s="264"/>
      <c r="D18" s="264"/>
      <c r="E18" s="264"/>
      <c r="F18" s="264"/>
      <c r="G18" s="264"/>
      <c r="H18" s="264"/>
      <c r="I18" s="264"/>
    </row>
    <row r="20" spans="1:12" ht="78" customHeight="1">
      <c r="A20" s="263" t="s">
        <v>510</v>
      </c>
      <c r="B20" s="263"/>
      <c r="C20" s="263"/>
      <c r="D20" s="263"/>
      <c r="E20" s="263"/>
      <c r="F20" s="263"/>
      <c r="G20" s="263"/>
      <c r="H20" s="263"/>
      <c r="I20" s="263"/>
    </row>
    <row r="22" spans="1:12">
      <c r="A22" t="s">
        <v>167</v>
      </c>
      <c r="F22" s="150">
        <f>VLOOKUP($A$7,'LEA Post-65 (1)'!$B:$EE,19,FALSE)*VLOOKUP($A$7,'LEA Post-65 (2)'!$B:$CY,5,FALSE)</f>
        <v>0</v>
      </c>
      <c r="L22" s="150"/>
    </row>
    <row r="23" spans="1:12">
      <c r="A23" t="s">
        <v>162</v>
      </c>
      <c r="I23" s="150">
        <f>F22</f>
        <v>0</v>
      </c>
    </row>
    <row r="25" spans="1:12" ht="32.25" customHeight="1">
      <c r="A25" s="258" t="s">
        <v>512</v>
      </c>
      <c r="B25" s="258"/>
      <c r="C25" s="258"/>
      <c r="D25" s="258"/>
      <c r="E25" s="258"/>
      <c r="F25" s="258"/>
      <c r="G25" s="258"/>
      <c r="H25" s="258"/>
      <c r="I25" s="258"/>
    </row>
    <row r="27" spans="1:12">
      <c r="A27" t="s">
        <v>168</v>
      </c>
      <c r="F27" s="150">
        <f>VLOOKUP($A$7,'LEA Post-65 (2)'!$B:$EC,9,FALSE)</f>
        <v>75460</v>
      </c>
    </row>
    <row r="28" spans="1:12">
      <c r="A28" t="s">
        <v>165</v>
      </c>
      <c r="I28" s="150">
        <f>F27</f>
        <v>75460</v>
      </c>
    </row>
    <row r="30" spans="1:12" ht="49.5" customHeight="1">
      <c r="A30" s="257" t="s">
        <v>511</v>
      </c>
      <c r="B30" s="257"/>
      <c r="C30" s="257"/>
      <c r="D30" s="257"/>
      <c r="E30" s="257"/>
      <c r="F30" s="257"/>
      <c r="G30" s="257"/>
      <c r="H30" s="257"/>
      <c r="I30" s="257"/>
    </row>
    <row r="32" spans="1:12">
      <c r="A32" s="191" t="s">
        <v>161</v>
      </c>
      <c r="F32" s="150">
        <f>I33</f>
        <v>75460</v>
      </c>
    </row>
    <row r="33" spans="1:9">
      <c r="A33" s="191" t="s">
        <v>207</v>
      </c>
      <c r="I33" s="150">
        <f>VLOOKUP($A$7,'LEA Post-65 (2)'!$B:$EC,10,FALSE)</f>
        <v>75460</v>
      </c>
    </row>
    <row r="35" spans="1:9" ht="76.5" customHeight="1">
      <c r="A35" s="258" t="s">
        <v>513</v>
      </c>
      <c r="B35" s="258"/>
      <c r="C35" s="258"/>
      <c r="D35" s="258"/>
      <c r="E35" s="258"/>
      <c r="F35" s="258"/>
      <c r="G35" s="258"/>
      <c r="H35" s="258"/>
      <c r="I35" s="258"/>
    </row>
    <row r="37" spans="1:9">
      <c r="A37" t="s">
        <v>161</v>
      </c>
      <c r="F37" s="148">
        <f>I38</f>
        <v>0</v>
      </c>
    </row>
    <row r="38" spans="1:9">
      <c r="A38" t="s">
        <v>182</v>
      </c>
      <c r="I38" s="150">
        <f>VLOOKUP($A$7,'LEA Post-65 (1)'!$B:$EE,17,FALSE)*VLOOKUP($A$7,'LEA Post-65 (2)'!$B:$CY,5,FALSE)</f>
        <v>0</v>
      </c>
    </row>
    <row r="40" spans="1:9" ht="75.75" customHeight="1">
      <c r="A40" s="258" t="s">
        <v>514</v>
      </c>
      <c r="B40" s="258"/>
      <c r="C40" s="258"/>
      <c r="D40" s="258"/>
      <c r="E40" s="258"/>
      <c r="F40" s="258"/>
      <c r="G40" s="258"/>
      <c r="H40" s="258"/>
      <c r="I40" s="258"/>
    </row>
    <row r="42" spans="1:9">
      <c r="A42" t="s">
        <v>183</v>
      </c>
      <c r="F42" s="150">
        <f>VLOOKUP($A$7,'LEA Post-65 (1)'!$B:$EE,21,FALSE)*VLOOKUP($A$7,'LEA Post-65 (2)'!$B:$CY,5,FALSE)</f>
        <v>0</v>
      </c>
    </row>
    <row r="43" spans="1:9">
      <c r="A43" t="s">
        <v>165</v>
      </c>
      <c r="I43" s="148">
        <f>F42</f>
        <v>0</v>
      </c>
    </row>
    <row r="45" spans="1:9" ht="90" customHeight="1">
      <c r="A45" s="258" t="s">
        <v>515</v>
      </c>
      <c r="B45" s="258"/>
      <c r="C45" s="258"/>
      <c r="D45" s="258"/>
      <c r="E45" s="258"/>
      <c r="F45" s="258"/>
      <c r="G45" s="258"/>
      <c r="H45" s="258"/>
      <c r="I45" s="258"/>
    </row>
    <row r="47" spans="1:9">
      <c r="A47" t="s">
        <v>161</v>
      </c>
      <c r="F47" s="150">
        <f>I48</f>
        <v>0</v>
      </c>
    </row>
    <row r="48" spans="1:9">
      <c r="A48" t="s">
        <v>169</v>
      </c>
      <c r="I48" s="150">
        <f>-VLOOKUP($A$7,'LEA Post-65 (1)'!$B:$EE,18,FALSE)*VLOOKUP($A$7,'LEA Post-65 (2)'!$B:$CY,5,FALSE)</f>
        <v>0</v>
      </c>
    </row>
    <row r="50" spans="1:9" ht="90" customHeight="1">
      <c r="A50" s="258" t="s">
        <v>516</v>
      </c>
      <c r="B50" s="258"/>
      <c r="C50" s="258"/>
      <c r="D50" s="258"/>
      <c r="E50" s="258"/>
      <c r="F50" s="258"/>
      <c r="G50" s="258"/>
      <c r="H50" s="258"/>
      <c r="I50" s="258"/>
    </row>
    <row r="52" spans="1:9">
      <c r="A52" t="s">
        <v>170</v>
      </c>
      <c r="F52" s="150">
        <f>-VLOOKUP($A$7,'LEA Post-65 (1)'!$B:$EE,22,FALSE)*VLOOKUP($A$7,'LEA Post-65 (2)'!$B:$CY,5,FALSE)</f>
        <v>0</v>
      </c>
    </row>
    <row r="53" spans="1:9">
      <c r="A53" t="s">
        <v>165</v>
      </c>
      <c r="I53" s="150">
        <f>F52</f>
        <v>0</v>
      </c>
    </row>
    <row r="55" spans="1:9" ht="76.5" customHeight="1">
      <c r="A55" s="259" t="s">
        <v>517</v>
      </c>
      <c r="B55" s="259"/>
      <c r="C55" s="259"/>
      <c r="D55" s="259"/>
      <c r="E55" s="259"/>
      <c r="F55" s="259"/>
      <c r="G55" s="259"/>
      <c r="H55" s="259"/>
      <c r="I55" s="259"/>
    </row>
    <row r="56" spans="1:9">
      <c r="A56" s="139"/>
      <c r="B56" s="139"/>
      <c r="C56" s="139"/>
      <c r="D56" s="139"/>
      <c r="E56" s="139"/>
    </row>
    <row r="57" spans="1:9">
      <c r="A57" s="139" t="s">
        <v>161</v>
      </c>
      <c r="B57" s="139"/>
      <c r="C57" s="139"/>
      <c r="D57" s="139"/>
      <c r="E57" s="139"/>
      <c r="F57" s="148">
        <f>I58</f>
        <v>0</v>
      </c>
    </row>
    <row r="58" spans="1:9">
      <c r="A58" s="139" t="s">
        <v>184</v>
      </c>
      <c r="B58" s="139"/>
      <c r="C58" s="139"/>
      <c r="D58" s="139"/>
      <c r="E58" s="139"/>
      <c r="I58" s="148">
        <v>0</v>
      </c>
    </row>
    <row r="59" spans="1:9">
      <c r="A59" s="139"/>
      <c r="B59" s="139"/>
      <c r="C59" s="139"/>
      <c r="D59" s="139"/>
      <c r="E59" s="139"/>
    </row>
    <row r="60" spans="1:9" ht="75" customHeight="1">
      <c r="A60" s="257" t="s">
        <v>518</v>
      </c>
      <c r="B60" s="257"/>
      <c r="C60" s="257"/>
      <c r="D60" s="257"/>
      <c r="E60" s="257"/>
      <c r="F60" s="257"/>
      <c r="G60" s="257"/>
      <c r="H60" s="257"/>
      <c r="I60" s="257"/>
    </row>
    <row r="61" spans="1:9">
      <c r="A61" s="139"/>
      <c r="B61" s="139"/>
      <c r="C61" s="139"/>
      <c r="D61" s="139"/>
      <c r="E61" s="139"/>
    </row>
    <row r="62" spans="1:9">
      <c r="A62" s="139" t="s">
        <v>185</v>
      </c>
      <c r="B62" s="139"/>
      <c r="C62" s="139"/>
      <c r="D62" s="139"/>
      <c r="E62" s="139"/>
      <c r="F62" s="148">
        <v>0</v>
      </c>
    </row>
    <row r="63" spans="1:9">
      <c r="A63" s="139" t="s">
        <v>165</v>
      </c>
      <c r="B63" s="139"/>
      <c r="C63" s="139"/>
      <c r="D63" s="139"/>
      <c r="E63" s="139"/>
      <c r="I63" s="148">
        <f>F62</f>
        <v>0</v>
      </c>
    </row>
    <row r="64" spans="1:9">
      <c r="A64" s="139"/>
      <c r="B64" s="139"/>
      <c r="C64" s="139"/>
      <c r="D64" s="139"/>
      <c r="E64" s="139"/>
    </row>
    <row r="65" spans="1:12" ht="102" customHeight="1">
      <c r="A65" s="259" t="s">
        <v>519</v>
      </c>
      <c r="B65" s="259"/>
      <c r="C65" s="259"/>
      <c r="D65" s="259"/>
      <c r="E65" s="259"/>
      <c r="F65" s="259"/>
      <c r="G65" s="259"/>
      <c r="H65" s="259"/>
      <c r="I65" s="259"/>
    </row>
    <row r="66" spans="1:12">
      <c r="A66" s="139"/>
      <c r="B66" s="139"/>
      <c r="C66" s="139"/>
      <c r="D66" s="139"/>
      <c r="E66" s="139"/>
    </row>
    <row r="67" spans="1:12">
      <c r="A67" s="139" t="s">
        <v>161</v>
      </c>
      <c r="B67" s="139"/>
      <c r="C67" s="139"/>
      <c r="D67" s="139"/>
      <c r="E67" s="139"/>
      <c r="F67" s="148">
        <f>I68</f>
        <v>0</v>
      </c>
    </row>
    <row r="68" spans="1:12">
      <c r="A68" s="139" t="s">
        <v>186</v>
      </c>
      <c r="B68" s="139"/>
      <c r="C68" s="139"/>
      <c r="D68" s="139"/>
      <c r="E68" s="139"/>
      <c r="I68" s="148">
        <v>0</v>
      </c>
    </row>
    <row r="69" spans="1:12">
      <c r="A69" s="139"/>
      <c r="B69" s="139"/>
      <c r="C69" s="139"/>
      <c r="D69" s="139"/>
      <c r="E69" s="139"/>
    </row>
    <row r="70" spans="1:12" ht="95.25" customHeight="1">
      <c r="A70" s="257" t="s">
        <v>520</v>
      </c>
      <c r="B70" s="257"/>
      <c r="C70" s="257"/>
      <c r="D70" s="257"/>
      <c r="E70" s="257"/>
      <c r="F70" s="257"/>
      <c r="G70" s="257"/>
      <c r="H70" s="257"/>
      <c r="I70" s="257"/>
    </row>
    <row r="71" spans="1:12">
      <c r="A71" s="139"/>
      <c r="B71" s="139"/>
      <c r="C71" s="139"/>
      <c r="D71" s="139"/>
      <c r="E71" s="139"/>
    </row>
    <row r="72" spans="1:12">
      <c r="A72" s="139" t="s">
        <v>187</v>
      </c>
      <c r="B72" s="139"/>
      <c r="C72" s="139"/>
      <c r="D72" s="139"/>
      <c r="E72" s="139"/>
      <c r="F72" s="148">
        <v>0</v>
      </c>
    </row>
    <row r="73" spans="1:12">
      <c r="A73" s="139" t="s">
        <v>165</v>
      </c>
      <c r="B73" s="139"/>
      <c r="C73" s="139"/>
      <c r="D73" s="139"/>
      <c r="E73" s="139"/>
      <c r="I73" s="148">
        <f>F72</f>
        <v>0</v>
      </c>
    </row>
    <row r="74" spans="1:12">
      <c r="A74" s="139"/>
      <c r="B74" s="139"/>
      <c r="C74" s="139"/>
      <c r="D74" s="139"/>
      <c r="E74" s="139"/>
    </row>
    <row r="75" spans="1:12" ht="80.25" customHeight="1">
      <c r="A75" s="257" t="s">
        <v>521</v>
      </c>
      <c r="B75" s="257"/>
      <c r="C75" s="257"/>
      <c r="D75" s="257"/>
      <c r="E75" s="257"/>
      <c r="F75" s="257"/>
      <c r="G75" s="257"/>
      <c r="H75" s="257"/>
      <c r="I75" s="257"/>
    </row>
    <row r="77" spans="1:12">
      <c r="A77" t="s">
        <v>161</v>
      </c>
      <c r="F77" s="150">
        <f>I78</f>
        <v>0</v>
      </c>
    </row>
    <row r="78" spans="1:12">
      <c r="A78" t="s">
        <v>171</v>
      </c>
      <c r="I78" s="150">
        <f>VLOOKUP($A$7,'LEA Post-65 (1)'!$B:$EE,19,FALSE)*VLOOKUP($A$7,'LEA Post-65 (2)'!$B:$CY,5,FALSE)</f>
        <v>0</v>
      </c>
      <c r="L78" s="150"/>
    </row>
    <row r="80" spans="1:12" ht="48.75" customHeight="1">
      <c r="A80" s="257" t="s">
        <v>522</v>
      </c>
      <c r="B80" s="257"/>
      <c r="C80" s="257"/>
      <c r="D80" s="257"/>
      <c r="E80" s="257"/>
      <c r="F80" s="257"/>
      <c r="G80" s="257"/>
      <c r="H80" s="257"/>
      <c r="I80" s="257"/>
    </row>
    <row r="82" spans="1:9">
      <c r="A82" t="s">
        <v>167</v>
      </c>
      <c r="F82" s="150">
        <f>VLOOKUP($A$7,'LEA Post-65 (2)'!$B:$EC,44,FALSE)</f>
        <v>0</v>
      </c>
    </row>
    <row r="83" spans="1:9">
      <c r="A83" t="s">
        <v>172</v>
      </c>
      <c r="I83" s="150">
        <f>F82</f>
        <v>0</v>
      </c>
    </row>
    <row r="85" spans="1:9" ht="51" customHeight="1">
      <c r="A85" s="257" t="s">
        <v>523</v>
      </c>
      <c r="B85" s="257"/>
      <c r="C85" s="257"/>
      <c r="D85" s="257"/>
      <c r="E85" s="257"/>
      <c r="F85" s="257"/>
      <c r="G85" s="257"/>
      <c r="H85" s="257"/>
      <c r="I85" s="257"/>
    </row>
    <row r="87" spans="1:9">
      <c r="A87" t="s">
        <v>173</v>
      </c>
      <c r="F87" s="150">
        <f>VLOOKUP($A$7,'LEA Post-65 (2)'!$B:$EC,43,FALSE)</f>
        <v>49940</v>
      </c>
    </row>
    <row r="88" spans="1:9">
      <c r="A88" t="s">
        <v>174</v>
      </c>
      <c r="I88" s="359">
        <f>F87</f>
        <v>49940</v>
      </c>
    </row>
    <row r="90" spans="1:9" ht="15.75" thickBot="1"/>
    <row r="91" spans="1:9">
      <c r="A91" s="8" t="s">
        <v>175</v>
      </c>
      <c r="B91" s="9"/>
      <c r="C91" s="9"/>
      <c r="D91" s="9"/>
      <c r="E91" s="9"/>
      <c r="F91" s="162"/>
      <c r="G91" s="163"/>
      <c r="H91" s="163"/>
      <c r="I91" s="134">
        <f>I16+I28-F47+I53-F77-F32-F57+I63-F67+I73</f>
        <v>0</v>
      </c>
    </row>
    <row r="92" spans="1:9">
      <c r="A92" s="143" t="s">
        <v>176</v>
      </c>
      <c r="B92" s="144"/>
      <c r="C92" s="144"/>
      <c r="D92" s="144"/>
      <c r="E92" s="144"/>
      <c r="F92" s="164"/>
      <c r="G92" s="165"/>
      <c r="H92" s="165"/>
      <c r="I92" s="126">
        <f>VLOOKUP($A$7,'LEA Post-65 (2)'!$B:$EC,8,FALSE)</f>
        <v>0</v>
      </c>
    </row>
    <row r="93" spans="1:9">
      <c r="A93" s="143"/>
      <c r="B93" s="144"/>
      <c r="C93" s="144"/>
      <c r="D93" s="144"/>
      <c r="E93" s="144"/>
      <c r="F93" s="164"/>
      <c r="G93" s="165"/>
      <c r="H93" s="165"/>
      <c r="I93" s="126">
        <f>I91-I92</f>
        <v>0</v>
      </c>
    </row>
    <row r="94" spans="1:9">
      <c r="A94" s="143" t="s">
        <v>177</v>
      </c>
      <c r="B94" s="144"/>
      <c r="C94" s="144"/>
      <c r="D94" s="144"/>
      <c r="E94" s="144"/>
      <c r="F94" s="164"/>
      <c r="G94" s="165"/>
      <c r="H94" s="165"/>
      <c r="I94" s="126">
        <f>I28-F47+I53-F77-F32-F37+I43-F57+I63-F67+I73</f>
        <v>0</v>
      </c>
    </row>
    <row r="95" spans="1:9">
      <c r="A95" s="143" t="s">
        <v>178</v>
      </c>
      <c r="B95" s="144"/>
      <c r="C95" s="144"/>
      <c r="D95" s="144"/>
      <c r="E95" s="144"/>
      <c r="F95" s="164"/>
      <c r="G95" s="165"/>
      <c r="H95" s="165"/>
      <c r="I95" s="126">
        <f>VLOOKUP($A$7,'LEA Post-65 (2)'!$B:$EC,60,FALSE)</f>
        <v>0</v>
      </c>
    </row>
    <row r="96" spans="1:9">
      <c r="A96" s="143"/>
      <c r="B96" s="144"/>
      <c r="C96" s="144"/>
      <c r="D96" s="144"/>
      <c r="E96" s="144"/>
      <c r="F96" s="164"/>
      <c r="G96" s="165"/>
      <c r="H96" s="165"/>
      <c r="I96" s="126">
        <f>I94-I95</f>
        <v>0</v>
      </c>
    </row>
    <row r="97" spans="1:9">
      <c r="A97" s="143"/>
      <c r="B97" s="144"/>
      <c r="C97" s="144"/>
      <c r="D97" s="144"/>
      <c r="E97" s="144"/>
      <c r="F97" s="164"/>
      <c r="G97" s="165"/>
      <c r="H97" s="165"/>
      <c r="I97" s="166"/>
    </row>
    <row r="98" spans="1:9">
      <c r="A98" s="145" t="s">
        <v>179</v>
      </c>
      <c r="B98" s="144"/>
      <c r="C98" s="144"/>
      <c r="D98" s="144"/>
      <c r="E98" s="144"/>
      <c r="F98" s="164"/>
      <c r="G98" s="165"/>
      <c r="H98" s="165"/>
      <c r="I98" s="166"/>
    </row>
    <row r="99" spans="1:9">
      <c r="A99" s="143"/>
      <c r="B99" s="144"/>
      <c r="C99" s="144"/>
      <c r="D99" s="144"/>
      <c r="E99" s="144"/>
      <c r="F99" s="164"/>
      <c r="G99" s="165"/>
      <c r="H99" s="165"/>
      <c r="I99" s="166"/>
    </row>
    <row r="100" spans="1:9">
      <c r="A100" s="143" t="s">
        <v>180</v>
      </c>
      <c r="B100" s="144"/>
      <c r="C100" s="144"/>
      <c r="D100" s="144"/>
      <c r="E100" s="144"/>
      <c r="F100" s="164"/>
      <c r="G100" s="165"/>
      <c r="H100" s="165"/>
      <c r="I100" s="166"/>
    </row>
    <row r="101" spans="1:9" ht="15.75" thickBot="1">
      <c r="A101" s="146" t="s">
        <v>181</v>
      </c>
      <c r="B101" s="147"/>
      <c r="C101" s="147"/>
      <c r="D101" s="147"/>
      <c r="E101" s="147"/>
      <c r="F101" s="167"/>
      <c r="G101" s="168"/>
      <c r="H101" s="168"/>
      <c r="I101" s="169"/>
    </row>
  </sheetData>
  <mergeCells count="19">
    <mergeCell ref="A70:I70"/>
    <mergeCell ref="A75:I75"/>
    <mergeCell ref="A80:I80"/>
    <mergeCell ref="A85:I85"/>
    <mergeCell ref="A40:I40"/>
    <mergeCell ref="A45:I45"/>
    <mergeCell ref="A50:I50"/>
    <mergeCell ref="A55:I55"/>
    <mergeCell ref="A60:I60"/>
    <mergeCell ref="A65:I65"/>
    <mergeCell ref="A1:I1"/>
    <mergeCell ref="A2:I2"/>
    <mergeCell ref="A4:I4"/>
    <mergeCell ref="A18:I18"/>
    <mergeCell ref="A35:I35"/>
    <mergeCell ref="A9:I9"/>
    <mergeCell ref="A20:I20"/>
    <mergeCell ref="A25:I25"/>
    <mergeCell ref="A30:I30"/>
  </mergeCells>
  <pageMargins left="0.7" right="0.7" top="0.75" bottom="0.75" header="0.3" footer="0.3"/>
  <pageSetup orientation="portrait" verticalDpi="0"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'LEA Pre-65 (1)'!$B$5:$B$150</xm:f>
          </x14:formula1>
          <xm:sqref>A7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3"/>
  <sheetViews>
    <sheetView workbookViewId="0">
      <pane ySplit="2" topLeftCell="A181" activePane="bottomLeft" state="frozen"/>
      <selection pane="bottomLeft" activeCell="M184" sqref="M184:M196"/>
    </sheetView>
  </sheetViews>
  <sheetFormatPr defaultRowHeight="15"/>
  <cols>
    <col min="1" max="1" width="14.28515625" style="12" customWidth="1"/>
    <col min="2" max="8" width="9.140625" style="3"/>
    <col min="9" max="9" width="9.140625" style="3" customWidth="1"/>
    <col min="10" max="11" width="9.140625" style="3"/>
    <col min="12" max="12" width="15.85546875" style="3" customWidth="1"/>
    <col min="13" max="13" width="36.85546875" style="41" customWidth="1"/>
    <col min="14" max="14" width="62" style="42" customWidth="1"/>
    <col min="15" max="16384" width="9.140625" style="2"/>
  </cols>
  <sheetData>
    <row r="1" spans="1:14" s="136" customFormat="1">
      <c r="A1" s="142" t="s">
        <v>158</v>
      </c>
      <c r="F1" s="148"/>
      <c r="G1" s="139"/>
      <c r="H1" s="139"/>
      <c r="I1" s="148"/>
      <c r="J1" s="139"/>
      <c r="K1" s="139"/>
    </row>
    <row r="2" spans="1:14" s="136" customFormat="1">
      <c r="A2" s="265" t="s">
        <v>250</v>
      </c>
      <c r="B2" s="265"/>
      <c r="C2" s="265"/>
      <c r="D2" s="265"/>
      <c r="E2" s="265"/>
      <c r="F2" s="149"/>
      <c r="G2" s="139"/>
      <c r="H2" s="139"/>
      <c r="I2" s="149"/>
      <c r="J2" s="139"/>
      <c r="K2" s="139"/>
    </row>
    <row r="3" spans="1:14" s="1" customFormat="1" ht="12.75">
      <c r="A3" s="40" t="s">
        <v>188</v>
      </c>
      <c r="B3" s="3"/>
      <c r="C3" s="3"/>
      <c r="D3" s="3"/>
      <c r="E3" s="3"/>
      <c r="F3" s="3"/>
      <c r="G3" s="3"/>
      <c r="H3" s="3"/>
      <c r="I3" s="3"/>
      <c r="J3" s="3"/>
      <c r="K3" s="3"/>
      <c r="L3" s="4"/>
      <c r="M3" s="3"/>
      <c r="N3" s="36"/>
    </row>
    <row r="4" spans="1:14">
      <c r="A4" s="40" t="s">
        <v>0</v>
      </c>
      <c r="B4" s="10"/>
      <c r="C4" s="10"/>
      <c r="D4" s="10"/>
      <c r="E4" s="10"/>
      <c r="F4" s="10"/>
      <c r="G4" s="10"/>
      <c r="H4" s="10"/>
      <c r="I4" s="10"/>
      <c r="J4" s="10"/>
      <c r="K4" s="10"/>
      <c r="L4" s="10"/>
    </row>
    <row r="5" spans="1:14">
      <c r="B5" s="3" t="s">
        <v>1</v>
      </c>
    </row>
    <row r="7" spans="1:14">
      <c r="A7" s="43"/>
      <c r="B7" s="10" t="s">
        <v>2</v>
      </c>
      <c r="M7" s="328" t="s">
        <v>494</v>
      </c>
    </row>
    <row r="8" spans="1:14" ht="51.75" customHeight="1">
      <c r="A8" s="43" t="s">
        <v>3</v>
      </c>
      <c r="B8" s="269" t="s">
        <v>4</v>
      </c>
      <c r="C8" s="269"/>
      <c r="D8" s="269"/>
      <c r="E8" s="269"/>
      <c r="F8" s="269"/>
      <c r="G8" s="269"/>
      <c r="H8" s="269"/>
      <c r="I8" s="269"/>
      <c r="K8" s="3" t="s">
        <v>5</v>
      </c>
      <c r="M8" s="41">
        <v>193</v>
      </c>
    </row>
    <row r="9" spans="1:14">
      <c r="A9" s="43"/>
    </row>
    <row r="10" spans="1:14" ht="42" customHeight="1">
      <c r="A10" s="43" t="s">
        <v>3</v>
      </c>
      <c r="B10" s="269" t="s">
        <v>6</v>
      </c>
      <c r="C10" s="269"/>
      <c r="D10" s="269"/>
      <c r="E10" s="269"/>
      <c r="F10" s="269"/>
      <c r="G10" s="269"/>
      <c r="H10" s="269"/>
      <c r="I10" s="269"/>
      <c r="K10" s="3" t="s">
        <v>474</v>
      </c>
      <c r="M10" s="41" t="s">
        <v>8</v>
      </c>
    </row>
    <row r="11" spans="1:14">
      <c r="A11" s="43"/>
    </row>
    <row r="12" spans="1:14">
      <c r="A12" s="43"/>
      <c r="B12" s="10" t="s">
        <v>9</v>
      </c>
    </row>
    <row r="13" spans="1:14" ht="78" customHeight="1">
      <c r="A13" s="43" t="s">
        <v>3</v>
      </c>
      <c r="B13" s="269" t="s">
        <v>10</v>
      </c>
      <c r="C13" s="269"/>
      <c r="D13" s="269"/>
      <c r="E13" s="269"/>
      <c r="F13" s="269"/>
      <c r="G13" s="269"/>
      <c r="H13" s="269"/>
      <c r="I13" s="269"/>
      <c r="K13" s="3" t="s">
        <v>5</v>
      </c>
      <c r="M13" s="41" t="s">
        <v>11</v>
      </c>
    </row>
    <row r="14" spans="1:14">
      <c r="A14" s="43"/>
      <c r="B14" s="10"/>
    </row>
    <row r="15" spans="1:14" ht="52.5" customHeight="1">
      <c r="A15" s="43">
        <v>1</v>
      </c>
      <c r="B15" s="269" t="s">
        <v>12</v>
      </c>
      <c r="C15" s="269"/>
      <c r="D15" s="269"/>
      <c r="E15" s="269"/>
      <c r="F15" s="269"/>
      <c r="G15" s="269"/>
      <c r="H15" s="269"/>
      <c r="I15" s="269"/>
      <c r="K15" s="3" t="s">
        <v>5</v>
      </c>
      <c r="M15" s="41" t="s">
        <v>13</v>
      </c>
    </row>
    <row r="16" spans="1:14">
      <c r="A16" s="43"/>
    </row>
    <row r="17" spans="1:13" ht="51" customHeight="1">
      <c r="A17" s="43">
        <v>2</v>
      </c>
      <c r="B17" s="269" t="s">
        <v>14</v>
      </c>
      <c r="C17" s="269"/>
      <c r="D17" s="269"/>
      <c r="E17" s="269"/>
      <c r="F17" s="269"/>
      <c r="G17" s="269"/>
      <c r="H17" s="269"/>
      <c r="I17" s="269"/>
      <c r="K17" s="3" t="s">
        <v>5</v>
      </c>
      <c r="M17" s="41" t="s">
        <v>15</v>
      </c>
    </row>
    <row r="18" spans="1:13">
      <c r="A18" s="43"/>
    </row>
    <row r="19" spans="1:13" ht="78.75" customHeight="1">
      <c r="A19" s="43">
        <v>3</v>
      </c>
      <c r="B19" s="269" t="s">
        <v>16</v>
      </c>
      <c r="C19" s="269"/>
      <c r="D19" s="269"/>
      <c r="E19" s="269"/>
      <c r="F19" s="269"/>
      <c r="G19" s="269"/>
      <c r="H19" s="269"/>
      <c r="I19" s="269"/>
      <c r="K19" s="3" t="s">
        <v>5</v>
      </c>
      <c r="M19" s="41">
        <v>196</v>
      </c>
    </row>
    <row r="20" spans="1:13">
      <c r="A20" s="43"/>
      <c r="B20" s="36"/>
      <c r="C20" s="36"/>
      <c r="D20" s="36"/>
      <c r="E20" s="36"/>
      <c r="F20" s="36"/>
      <c r="G20" s="36"/>
      <c r="H20" s="36"/>
      <c r="I20" s="36"/>
    </row>
    <row r="21" spans="1:13" ht="79.5" customHeight="1">
      <c r="A21" s="43">
        <v>4</v>
      </c>
      <c r="B21" s="269" t="s">
        <v>17</v>
      </c>
      <c r="C21" s="269"/>
      <c r="D21" s="269"/>
      <c r="E21" s="269"/>
      <c r="F21" s="269"/>
      <c r="G21" s="269"/>
      <c r="H21" s="269"/>
      <c r="I21" s="269"/>
      <c r="K21" s="3" t="s">
        <v>5</v>
      </c>
      <c r="M21" s="41">
        <v>197</v>
      </c>
    </row>
    <row r="22" spans="1:13">
      <c r="A22" s="43"/>
    </row>
    <row r="23" spans="1:13" ht="39" customHeight="1">
      <c r="A23" s="43">
        <v>5</v>
      </c>
      <c r="B23" s="269" t="s">
        <v>18</v>
      </c>
      <c r="C23" s="269"/>
      <c r="D23" s="269"/>
      <c r="E23" s="269"/>
      <c r="F23" s="269"/>
      <c r="G23" s="269"/>
      <c r="H23" s="269"/>
      <c r="I23" s="269"/>
      <c r="K23" s="3" t="s">
        <v>5</v>
      </c>
      <c r="M23" s="41">
        <v>198</v>
      </c>
    </row>
    <row r="24" spans="1:13">
      <c r="A24" s="43"/>
    </row>
    <row r="25" spans="1:13" ht="49.5" customHeight="1">
      <c r="A25" s="43">
        <v>6</v>
      </c>
      <c r="B25" s="269" t="s">
        <v>19</v>
      </c>
      <c r="C25" s="269"/>
      <c r="D25" s="269"/>
      <c r="E25" s="269"/>
      <c r="F25" s="269"/>
      <c r="G25" s="269"/>
      <c r="H25" s="269"/>
      <c r="I25" s="269"/>
      <c r="K25" s="3" t="s">
        <v>474</v>
      </c>
      <c r="M25" s="41" t="s">
        <v>20</v>
      </c>
    </row>
    <row r="26" spans="1:13">
      <c r="A26" s="43"/>
    </row>
    <row r="27" spans="1:13">
      <c r="A27" s="43"/>
      <c r="B27" s="10" t="s">
        <v>21</v>
      </c>
    </row>
    <row r="28" spans="1:13" ht="26.25" customHeight="1">
      <c r="A28" s="43">
        <v>1</v>
      </c>
      <c r="B28" s="269" t="s">
        <v>22</v>
      </c>
      <c r="C28" s="269"/>
      <c r="D28" s="269"/>
      <c r="E28" s="269"/>
      <c r="F28" s="269"/>
      <c r="G28" s="269"/>
      <c r="H28" s="269"/>
      <c r="I28" s="269"/>
      <c r="K28" s="3" t="s">
        <v>5</v>
      </c>
      <c r="M28" s="41" t="s">
        <v>13</v>
      </c>
    </row>
    <row r="29" spans="1:13">
      <c r="A29" s="43"/>
    </row>
    <row r="30" spans="1:13" ht="26.25" customHeight="1">
      <c r="A30" s="43">
        <v>2</v>
      </c>
      <c r="B30" s="269" t="s">
        <v>23</v>
      </c>
      <c r="C30" s="269"/>
      <c r="D30" s="269"/>
      <c r="E30" s="269"/>
      <c r="F30" s="269"/>
      <c r="G30" s="269"/>
      <c r="H30" s="269"/>
      <c r="I30" s="269"/>
      <c r="K30" s="3" t="s">
        <v>5</v>
      </c>
      <c r="M30" s="41" t="s">
        <v>15</v>
      </c>
    </row>
    <row r="31" spans="1:13">
      <c r="A31" s="43"/>
    </row>
    <row r="32" spans="1:13" ht="26.25" customHeight="1">
      <c r="A32" s="43">
        <v>3</v>
      </c>
      <c r="B32" s="269" t="s">
        <v>24</v>
      </c>
      <c r="C32" s="269"/>
      <c r="D32" s="269"/>
      <c r="E32" s="269"/>
      <c r="F32" s="269"/>
      <c r="G32" s="269"/>
      <c r="H32" s="269"/>
      <c r="I32" s="269"/>
      <c r="K32" s="3" t="s">
        <v>5</v>
      </c>
      <c r="M32" s="41">
        <v>196</v>
      </c>
    </row>
    <row r="33" spans="1:13">
      <c r="A33" s="43"/>
      <c r="B33" s="36"/>
      <c r="C33" s="36"/>
      <c r="D33" s="36"/>
      <c r="E33" s="36"/>
      <c r="F33" s="36"/>
      <c r="G33" s="36"/>
      <c r="H33" s="36"/>
      <c r="I33" s="36"/>
    </row>
    <row r="34" spans="1:13" ht="24.75" customHeight="1">
      <c r="A34" s="43">
        <v>4</v>
      </c>
      <c r="B34" s="269" t="s">
        <v>25</v>
      </c>
      <c r="C34" s="269"/>
      <c r="D34" s="269"/>
      <c r="E34" s="269"/>
      <c r="F34" s="269"/>
      <c r="G34" s="269"/>
      <c r="H34" s="269"/>
      <c r="I34" s="269"/>
      <c r="K34" s="3" t="s">
        <v>5</v>
      </c>
      <c r="M34" s="41">
        <v>197</v>
      </c>
    </row>
    <row r="35" spans="1:13">
      <c r="A35" s="43"/>
    </row>
    <row r="36" spans="1:13" ht="53.25" customHeight="1">
      <c r="A36" s="43">
        <v>5</v>
      </c>
      <c r="B36" s="269" t="s">
        <v>26</v>
      </c>
      <c r="C36" s="269"/>
      <c r="D36" s="269"/>
      <c r="E36" s="269"/>
      <c r="F36" s="269"/>
      <c r="G36" s="269"/>
      <c r="H36" s="269"/>
      <c r="I36" s="269"/>
      <c r="K36" s="3" t="s">
        <v>5</v>
      </c>
      <c r="M36" s="41">
        <v>199</v>
      </c>
    </row>
    <row r="37" spans="1:13">
      <c r="A37" s="43"/>
    </row>
    <row r="38" spans="1:13">
      <c r="A38" s="43"/>
      <c r="B38" s="10" t="s">
        <v>27</v>
      </c>
    </row>
    <row r="39" spans="1:13" ht="39.75" customHeight="1">
      <c r="A39" s="43" t="s">
        <v>3</v>
      </c>
      <c r="B39" s="269" t="s">
        <v>28</v>
      </c>
      <c r="C39" s="269"/>
      <c r="D39" s="269"/>
      <c r="E39" s="269"/>
      <c r="F39" s="269"/>
      <c r="G39" s="269"/>
      <c r="H39" s="269"/>
      <c r="I39" s="269"/>
      <c r="K39" s="3" t="s">
        <v>5</v>
      </c>
      <c r="M39" s="41">
        <v>200</v>
      </c>
    </row>
    <row r="40" spans="1:13">
      <c r="A40" s="43"/>
    </row>
    <row r="41" spans="1:13" ht="34.5" customHeight="1">
      <c r="A41" s="43" t="s">
        <v>3</v>
      </c>
      <c r="B41" s="269" t="s">
        <v>29</v>
      </c>
      <c r="C41" s="269"/>
      <c r="D41" s="269"/>
      <c r="E41" s="269"/>
      <c r="F41" s="269"/>
      <c r="G41" s="269"/>
      <c r="H41" s="269"/>
      <c r="I41" s="269"/>
      <c r="K41" s="3" t="s">
        <v>474</v>
      </c>
      <c r="M41" s="41" t="s">
        <v>30</v>
      </c>
    </row>
    <row r="42" spans="1:13">
      <c r="A42" s="43"/>
    </row>
    <row r="43" spans="1:13">
      <c r="A43" s="10" t="s">
        <v>31</v>
      </c>
      <c r="B43" s="10"/>
      <c r="L43" s="4"/>
      <c r="M43" s="44"/>
    </row>
    <row r="44" spans="1:13">
      <c r="L44" s="4"/>
      <c r="M44" s="44"/>
    </row>
    <row r="45" spans="1:13">
      <c r="A45" s="10" t="s">
        <v>32</v>
      </c>
      <c r="B45" s="10"/>
      <c r="L45" s="328" t="s">
        <v>494</v>
      </c>
      <c r="M45" s="329" t="s">
        <v>493</v>
      </c>
    </row>
    <row r="46" spans="1:13">
      <c r="A46" s="10"/>
      <c r="B46" s="10"/>
      <c r="L46" s="4"/>
      <c r="M46" s="44"/>
    </row>
    <row r="47" spans="1:13" ht="54" customHeight="1">
      <c r="A47" s="269" t="s">
        <v>33</v>
      </c>
      <c r="B47" s="269"/>
      <c r="C47" s="269"/>
      <c r="D47" s="269"/>
      <c r="E47" s="269"/>
      <c r="F47" s="269"/>
      <c r="G47" s="269"/>
      <c r="H47" s="269"/>
      <c r="I47" s="269"/>
      <c r="L47" s="4">
        <v>162</v>
      </c>
      <c r="M47" s="44"/>
    </row>
    <row r="48" spans="1:13" ht="15.75" thickBot="1">
      <c r="A48" s="3"/>
      <c r="L48" s="4"/>
      <c r="M48" s="44"/>
    </row>
    <row r="49" spans="1:13" s="139" customFormat="1">
      <c r="A49" s="151" t="s">
        <v>435</v>
      </c>
      <c r="B49" s="152"/>
      <c r="C49" s="152" t="s">
        <v>476</v>
      </c>
      <c r="D49" s="152" t="s">
        <v>477</v>
      </c>
      <c r="E49" s="152" t="s">
        <v>478</v>
      </c>
      <c r="F49" s="152" t="s">
        <v>479</v>
      </c>
      <c r="G49" s="152"/>
      <c r="H49" s="152"/>
      <c r="I49" s="153"/>
      <c r="J49" s="137"/>
      <c r="K49" s="137"/>
      <c r="L49" s="138"/>
      <c r="M49" s="141"/>
    </row>
    <row r="50" spans="1:13" s="139" customFormat="1">
      <c r="A50" s="154" t="s">
        <v>475</v>
      </c>
      <c r="B50" s="155"/>
      <c r="C50" s="128">
        <f>F110</f>
        <v>444.666</v>
      </c>
      <c r="D50" s="128">
        <f>G157</f>
        <v>20.288</v>
      </c>
      <c r="E50" s="128">
        <f>I157</f>
        <v>18.34</v>
      </c>
      <c r="F50" s="128">
        <f>D145</f>
        <v>41.006</v>
      </c>
      <c r="G50" s="128"/>
      <c r="H50" s="155"/>
      <c r="I50" s="156"/>
      <c r="J50" s="137"/>
      <c r="K50" s="137"/>
      <c r="L50" s="138"/>
      <c r="M50" s="141"/>
    </row>
    <row r="51" spans="1:13" s="139" customFormat="1">
      <c r="A51" s="154" t="s">
        <v>144</v>
      </c>
      <c r="B51" s="155"/>
      <c r="C51" s="128">
        <f>'75 TN Plan LEA with Prop Sha'!F105</f>
        <v>146.083</v>
      </c>
      <c r="D51" s="128">
        <f>'75 TN Plan LEA with Prop Sha'!G152</f>
        <v>3.83</v>
      </c>
      <c r="E51" s="128">
        <f>'75 TN Plan LEA with Prop Sha'!I152</f>
        <v>14.872</v>
      </c>
      <c r="F51" s="128">
        <f>'75 TN Plan LEA with Prop Sha'!D140</f>
        <v>14.253</v>
      </c>
      <c r="G51" s="128"/>
      <c r="H51" s="155"/>
      <c r="I51" s="156"/>
      <c r="J51" s="137"/>
      <c r="K51" s="137"/>
      <c r="L51" s="138"/>
      <c r="M51" s="141"/>
    </row>
    <row r="52" spans="1:13" s="139" customFormat="1">
      <c r="A52" s="154" t="s">
        <v>480</v>
      </c>
      <c r="B52" s="155"/>
      <c r="C52" s="128">
        <f>C50+C51</f>
        <v>590.74900000000002</v>
      </c>
      <c r="D52" s="128">
        <f t="shared" ref="D52:F52" si="0">D50+D51</f>
        <v>24.118000000000002</v>
      </c>
      <c r="E52" s="128">
        <f t="shared" si="0"/>
        <v>33.212000000000003</v>
      </c>
      <c r="F52" s="128">
        <f t="shared" si="0"/>
        <v>55.259</v>
      </c>
      <c r="G52" s="128"/>
      <c r="H52" s="155"/>
      <c r="I52" s="156"/>
      <c r="J52" s="137"/>
      <c r="K52" s="137"/>
      <c r="L52" s="138"/>
      <c r="M52" s="141"/>
    </row>
    <row r="53" spans="1:13" s="139" customFormat="1" ht="15.75" thickBot="1">
      <c r="A53" s="327" t="s">
        <v>495</v>
      </c>
      <c r="B53" s="325"/>
      <c r="C53" s="325"/>
      <c r="D53" s="325"/>
      <c r="E53" s="325"/>
      <c r="F53" s="325"/>
      <c r="G53" s="325"/>
      <c r="H53" s="325"/>
      <c r="I53" s="326"/>
      <c r="J53" s="137"/>
      <c r="K53" s="137"/>
      <c r="L53" s="138"/>
      <c r="M53" s="141"/>
    </row>
    <row r="54" spans="1:13" s="139" customFormat="1">
      <c r="A54" s="159"/>
      <c r="B54" s="140"/>
      <c r="C54" s="140"/>
      <c r="D54" s="140"/>
      <c r="E54" s="140"/>
      <c r="F54" s="140"/>
      <c r="G54" s="140"/>
      <c r="H54" s="140"/>
      <c r="I54" s="140"/>
      <c r="J54" s="137"/>
      <c r="K54" s="137"/>
      <c r="L54" s="138"/>
      <c r="M54" s="141"/>
    </row>
    <row r="55" spans="1:13">
      <c r="A55" s="10" t="s">
        <v>430</v>
      </c>
      <c r="B55" s="10"/>
      <c r="L55" s="4"/>
      <c r="M55" s="44"/>
    </row>
    <row r="56" spans="1:13">
      <c r="A56" s="10"/>
      <c r="B56" s="10"/>
      <c r="L56" s="4"/>
      <c r="M56" s="44"/>
    </row>
    <row r="57" spans="1:13">
      <c r="A57" s="11" t="s">
        <v>34</v>
      </c>
      <c r="B57" s="11"/>
      <c r="L57" s="4"/>
      <c r="M57" s="44"/>
    </row>
    <row r="58" spans="1:13">
      <c r="L58" s="4"/>
      <c r="M58" s="44"/>
    </row>
    <row r="59" spans="1:13" ht="104.25" customHeight="1">
      <c r="A59" s="281" t="s">
        <v>433</v>
      </c>
      <c r="B59" s="281"/>
      <c r="C59" s="281"/>
      <c r="D59" s="281"/>
      <c r="E59" s="281"/>
      <c r="F59" s="281"/>
      <c r="G59" s="281"/>
      <c r="H59" s="281"/>
      <c r="I59" s="281"/>
      <c r="L59" s="4" t="s">
        <v>35</v>
      </c>
      <c r="M59" s="330" t="s">
        <v>496</v>
      </c>
    </row>
    <row r="60" spans="1:13">
      <c r="B60" s="36"/>
      <c r="C60" s="36"/>
      <c r="D60" s="36"/>
      <c r="E60" s="36"/>
      <c r="F60" s="36"/>
      <c r="G60" s="36"/>
      <c r="H60" s="36"/>
      <c r="I60" s="36"/>
      <c r="L60" s="4"/>
      <c r="M60" s="44"/>
    </row>
    <row r="61" spans="1:13" ht="219.75" customHeight="1">
      <c r="A61" s="281" t="s">
        <v>432</v>
      </c>
      <c r="B61" s="281"/>
      <c r="C61" s="281"/>
      <c r="D61" s="281"/>
      <c r="E61" s="281"/>
      <c r="F61" s="281"/>
      <c r="G61" s="281"/>
      <c r="H61" s="281"/>
      <c r="I61" s="281"/>
      <c r="L61" s="4" t="s">
        <v>36</v>
      </c>
      <c r="M61" s="331" t="s">
        <v>497</v>
      </c>
    </row>
    <row r="62" spans="1:13">
      <c r="L62" s="4"/>
      <c r="M62" s="44"/>
    </row>
    <row r="63" spans="1:13" ht="33" customHeight="1">
      <c r="A63" s="269" t="s">
        <v>431</v>
      </c>
      <c r="B63" s="269"/>
      <c r="C63" s="269"/>
      <c r="D63" s="269"/>
      <c r="E63" s="269"/>
      <c r="F63" s="269"/>
      <c r="G63" s="269"/>
      <c r="H63" s="269"/>
      <c r="I63" s="269"/>
      <c r="L63" s="4" t="s">
        <v>37</v>
      </c>
      <c r="M63" s="44"/>
    </row>
    <row r="64" spans="1:13">
      <c r="L64" s="4"/>
      <c r="M64" s="44"/>
    </row>
    <row r="65" spans="1:13">
      <c r="G65" s="13"/>
      <c r="I65" s="13"/>
      <c r="L65" s="4"/>
      <c r="M65" s="44"/>
    </row>
    <row r="66" spans="1:13" ht="30">
      <c r="A66" s="281" t="s">
        <v>190</v>
      </c>
      <c r="B66" s="281"/>
      <c r="C66" s="281"/>
      <c r="D66" s="281"/>
      <c r="E66" s="281"/>
      <c r="G66" s="150">
        <f>VLOOKUP($A$2,'LEA Pre-65 (1)'!$B:$EC,2,FALSE)</f>
        <v>4</v>
      </c>
      <c r="I66" s="37"/>
      <c r="L66" s="4"/>
      <c r="M66" s="332" t="s">
        <v>498</v>
      </c>
    </row>
    <row r="67" spans="1:13">
      <c r="I67" s="37"/>
      <c r="L67" s="4"/>
      <c r="M67" s="332"/>
    </row>
    <row r="68" spans="1:13" ht="27.75" customHeight="1">
      <c r="A68" s="281" t="s">
        <v>191</v>
      </c>
      <c r="B68" s="281"/>
      <c r="C68" s="281"/>
      <c r="D68" s="281"/>
      <c r="E68" s="281"/>
      <c r="G68" s="150">
        <f>VLOOKUP($A$2,'LEA Pre-65 (1)'!$B:$EC,3,FALSE)</f>
        <v>0</v>
      </c>
      <c r="I68" s="37"/>
      <c r="L68" s="4"/>
      <c r="M68" s="332" t="s">
        <v>499</v>
      </c>
    </row>
    <row r="69" spans="1:13">
      <c r="I69" s="37"/>
      <c r="L69" s="4"/>
      <c r="M69" s="332"/>
    </row>
    <row r="70" spans="1:13">
      <c r="A70" s="281" t="s">
        <v>38</v>
      </c>
      <c r="B70" s="281"/>
      <c r="C70" s="281"/>
      <c r="D70" s="281"/>
      <c r="E70" s="281"/>
      <c r="G70" s="14">
        <f>VLOOKUP($A$2,'LEA Pre-65 (1)'!$B:$EC,5,FALSE)</f>
        <v>54</v>
      </c>
      <c r="I70" s="37"/>
      <c r="L70" s="4"/>
      <c r="M70" s="332" t="s">
        <v>499</v>
      </c>
    </row>
    <row r="71" spans="1:13" ht="15.75" thickBot="1">
      <c r="G71" s="15">
        <f>G66+G68+G70</f>
        <v>58</v>
      </c>
      <c r="I71" s="37"/>
      <c r="L71" s="4"/>
      <c r="M71" s="44"/>
    </row>
    <row r="72" spans="1:13" ht="15.75" thickTop="1">
      <c r="I72" s="37"/>
      <c r="L72" s="4"/>
      <c r="M72" s="44"/>
    </row>
    <row r="73" spans="1:13" ht="79.5" customHeight="1">
      <c r="A73" s="269" t="s">
        <v>483</v>
      </c>
      <c r="B73" s="269"/>
      <c r="C73" s="269"/>
      <c r="D73" s="269"/>
      <c r="E73" s="269"/>
      <c r="F73" s="269"/>
      <c r="G73" s="269"/>
      <c r="H73" s="269"/>
      <c r="I73" s="269"/>
      <c r="L73" s="4" t="s">
        <v>39</v>
      </c>
      <c r="M73" s="333" t="s">
        <v>500</v>
      </c>
    </row>
    <row r="74" spans="1:13" ht="15.75" thickBot="1">
      <c r="L74" s="4"/>
      <c r="M74" s="44"/>
    </row>
    <row r="75" spans="1:13" s="139" customFormat="1">
      <c r="A75" s="151" t="s">
        <v>435</v>
      </c>
      <c r="B75" s="152"/>
      <c r="C75" s="152"/>
      <c r="D75" s="152"/>
      <c r="E75" s="152"/>
      <c r="F75" s="152"/>
      <c r="G75" s="152"/>
      <c r="H75" s="152"/>
      <c r="I75" s="153"/>
      <c r="J75" s="137"/>
      <c r="K75" s="137"/>
      <c r="L75" s="138"/>
      <c r="M75" s="141"/>
    </row>
    <row r="76" spans="1:13" s="139" customFormat="1" ht="30">
      <c r="A76" s="154" t="s">
        <v>482</v>
      </c>
      <c r="B76" s="155"/>
      <c r="C76" s="155"/>
      <c r="D76" s="128">
        <f>-VLOOKUP($A$2,'LEA Pre-65 (2)'!$B:$EC,46,FALSE)/1000</f>
        <v>20.288</v>
      </c>
      <c r="E76" s="155"/>
      <c r="F76" s="155"/>
      <c r="G76" s="155"/>
      <c r="H76" s="155"/>
      <c r="I76" s="156"/>
      <c r="J76" s="137"/>
      <c r="K76" s="137"/>
      <c r="L76" s="138"/>
      <c r="M76" s="334" t="s">
        <v>534</v>
      </c>
    </row>
    <row r="77" spans="1:13" s="139" customFormat="1" ht="15.75" thickBot="1">
      <c r="A77" s="161"/>
      <c r="B77" s="157"/>
      <c r="C77" s="157"/>
      <c r="D77" s="157"/>
      <c r="E77" s="157"/>
      <c r="F77" s="157"/>
      <c r="G77" s="157"/>
      <c r="H77" s="157"/>
      <c r="I77" s="160"/>
      <c r="J77" s="137"/>
      <c r="K77" s="137"/>
      <c r="L77" s="138"/>
      <c r="M77" s="141"/>
    </row>
    <row r="78" spans="1:13" s="139" customFormat="1">
      <c r="A78" s="159"/>
      <c r="B78" s="140"/>
      <c r="C78" s="140"/>
      <c r="D78" s="140"/>
      <c r="E78" s="140"/>
      <c r="F78" s="140"/>
      <c r="G78" s="140"/>
      <c r="H78" s="140"/>
      <c r="I78" s="140"/>
      <c r="J78" s="137"/>
      <c r="K78" s="137"/>
      <c r="L78" s="138"/>
      <c r="M78" s="141"/>
    </row>
    <row r="79" spans="1:13">
      <c r="A79" s="11" t="s">
        <v>40</v>
      </c>
      <c r="L79" s="4"/>
      <c r="M79" s="44"/>
    </row>
    <row r="80" spans="1:13">
      <c r="L80" s="4"/>
      <c r="M80" s="335"/>
    </row>
    <row r="81" spans="1:14" ht="43.5" customHeight="1">
      <c r="A81" s="269" t="s">
        <v>192</v>
      </c>
      <c r="B81" s="269"/>
      <c r="C81" s="269"/>
      <c r="D81" s="269"/>
      <c r="E81" s="269"/>
      <c r="F81" s="269"/>
      <c r="G81" s="269"/>
      <c r="H81" s="269"/>
      <c r="I81" s="269"/>
      <c r="J81" s="37"/>
      <c r="L81" s="4" t="s">
        <v>41</v>
      </c>
      <c r="M81" s="336" t="s">
        <v>496</v>
      </c>
    </row>
    <row r="82" spans="1:14">
      <c r="A82" s="3"/>
      <c r="J82" s="37"/>
      <c r="L82" s="4"/>
      <c r="M82" s="44"/>
    </row>
    <row r="83" spans="1:14" ht="30">
      <c r="A83" s="3"/>
      <c r="B83" s="3" t="s">
        <v>42</v>
      </c>
      <c r="E83" s="278">
        <v>2.2499999999999999E-2</v>
      </c>
      <c r="F83" s="278"/>
      <c r="G83" s="278"/>
      <c r="H83" s="278"/>
      <c r="J83" s="37"/>
      <c r="L83" s="4"/>
      <c r="M83" s="337" t="s">
        <v>501</v>
      </c>
    </row>
    <row r="84" spans="1:14" ht="39.75" customHeight="1">
      <c r="A84" s="3"/>
      <c r="B84" s="12" t="s">
        <v>43</v>
      </c>
      <c r="E84" s="279" t="s">
        <v>44</v>
      </c>
      <c r="F84" s="279"/>
      <c r="G84" s="279"/>
      <c r="H84" s="279"/>
      <c r="J84" s="37"/>
      <c r="L84" s="4"/>
      <c r="M84" s="337" t="s">
        <v>499</v>
      </c>
    </row>
    <row r="85" spans="1:14" ht="44.25" customHeight="1">
      <c r="A85" s="3"/>
      <c r="B85" s="12" t="s">
        <v>45</v>
      </c>
      <c r="E85" s="280" t="s">
        <v>524</v>
      </c>
      <c r="F85" s="280"/>
      <c r="G85" s="280"/>
      <c r="H85" s="280"/>
      <c r="J85" s="37"/>
      <c r="L85" s="4"/>
      <c r="M85" s="337" t="s">
        <v>499</v>
      </c>
    </row>
    <row r="86" spans="1:14" s="1" customFormat="1" ht="64.5" customHeight="1">
      <c r="A86" s="3"/>
      <c r="B86" s="280" t="s">
        <v>46</v>
      </c>
      <c r="C86" s="280"/>
      <c r="D86" s="280"/>
      <c r="E86" s="269" t="s">
        <v>47</v>
      </c>
      <c r="F86" s="269"/>
      <c r="G86" s="269"/>
      <c r="H86" s="269"/>
      <c r="I86" s="3"/>
      <c r="J86" s="37"/>
      <c r="K86" s="3"/>
      <c r="L86" s="4"/>
      <c r="M86" s="358" t="s">
        <v>496</v>
      </c>
      <c r="N86" s="3"/>
    </row>
    <row r="87" spans="1:14">
      <c r="A87" s="3"/>
      <c r="J87" s="37"/>
      <c r="L87" s="4"/>
      <c r="M87" s="44"/>
    </row>
    <row r="88" spans="1:14">
      <c r="A88" s="3"/>
      <c r="J88" s="37"/>
      <c r="L88" s="4"/>
      <c r="M88" s="44"/>
    </row>
    <row r="89" spans="1:14" ht="142.5" customHeight="1">
      <c r="A89" s="269" t="s">
        <v>48</v>
      </c>
      <c r="B89" s="269"/>
      <c r="C89" s="269"/>
      <c r="D89" s="269"/>
      <c r="E89" s="269"/>
      <c r="F89" s="269"/>
      <c r="G89" s="269"/>
      <c r="H89" s="269"/>
      <c r="I89" s="269"/>
      <c r="J89" s="37"/>
      <c r="L89" s="4">
        <v>166</v>
      </c>
      <c r="M89" s="338" t="s">
        <v>502</v>
      </c>
    </row>
    <row r="90" spans="1:14">
      <c r="A90" s="3"/>
      <c r="J90" s="37"/>
      <c r="L90" s="4"/>
      <c r="M90" s="44"/>
    </row>
    <row r="91" spans="1:14" ht="52.5" customHeight="1">
      <c r="A91" s="269" t="s">
        <v>193</v>
      </c>
      <c r="B91" s="269"/>
      <c r="C91" s="269"/>
      <c r="D91" s="269"/>
      <c r="E91" s="269"/>
      <c r="F91" s="269"/>
      <c r="G91" s="269"/>
      <c r="H91" s="269"/>
      <c r="I91" s="269"/>
      <c r="J91" s="37"/>
      <c r="L91" s="4">
        <v>166</v>
      </c>
      <c r="M91" s="339" t="s">
        <v>501</v>
      </c>
    </row>
    <row r="92" spans="1:14">
      <c r="A92" s="3"/>
      <c r="J92" s="37"/>
      <c r="L92" s="4"/>
      <c r="M92" s="44"/>
    </row>
    <row r="93" spans="1:14">
      <c r="A93" s="11" t="s">
        <v>49</v>
      </c>
      <c r="J93" s="37"/>
      <c r="L93" s="4">
        <v>168</v>
      </c>
      <c r="M93" s="44"/>
    </row>
    <row r="94" spans="1:14">
      <c r="A94" s="3"/>
      <c r="J94" s="37"/>
      <c r="L94" s="4"/>
      <c r="M94" s="44"/>
    </row>
    <row r="95" spans="1:14">
      <c r="A95" s="266" t="s">
        <v>434</v>
      </c>
      <c r="B95" s="266"/>
      <c r="C95" s="266"/>
      <c r="D95" s="266"/>
      <c r="F95" s="37"/>
      <c r="J95" s="37"/>
      <c r="L95" s="4"/>
      <c r="M95" s="44"/>
    </row>
    <row r="96" spans="1:14" ht="51.75">
      <c r="A96" s="3"/>
      <c r="F96" s="16" t="s">
        <v>50</v>
      </c>
      <c r="G96" s="13"/>
      <c r="H96" s="13"/>
      <c r="I96" s="13"/>
      <c r="J96" s="37"/>
      <c r="L96" s="4"/>
      <c r="M96" s="44"/>
    </row>
    <row r="97" spans="1:13" ht="30">
      <c r="A97" s="3" t="s">
        <v>51</v>
      </c>
      <c r="F97" s="17">
        <f>VLOOKUP($A$2,'LEA Pre-65 (1)'!$B:$EC,7,FALSE)/1000</f>
        <v>633.89400000000001</v>
      </c>
      <c r="G97" s="18"/>
      <c r="H97" s="18"/>
      <c r="J97" s="37"/>
      <c r="L97" s="4" t="s">
        <v>52</v>
      </c>
      <c r="M97" s="340" t="s">
        <v>503</v>
      </c>
    </row>
    <row r="98" spans="1:13">
      <c r="A98" s="3" t="s">
        <v>53</v>
      </c>
      <c r="G98" s="37"/>
      <c r="H98" s="37"/>
      <c r="J98" s="37"/>
      <c r="L98" s="4"/>
      <c r="M98" s="340"/>
    </row>
    <row r="99" spans="1:13">
      <c r="A99" s="19" t="s">
        <v>54</v>
      </c>
      <c r="F99" s="20">
        <f>VLOOKUP($A$2,'LEA Pre-65 (1)'!$B:$EC,15,FALSE)/1000</f>
        <v>24.788</v>
      </c>
      <c r="G99" s="21"/>
      <c r="H99" s="21"/>
      <c r="J99" s="37"/>
      <c r="L99" s="4" t="s">
        <v>55</v>
      </c>
      <c r="M99" s="340" t="s">
        <v>499</v>
      </c>
    </row>
    <row r="100" spans="1:13">
      <c r="A100" s="19" t="s">
        <v>56</v>
      </c>
      <c r="F100" s="20">
        <f>VLOOKUP($A$2,'LEA Pre-65 (1)'!$B:$EC,16,FALSE)/1000</f>
        <v>18.835999999999999</v>
      </c>
      <c r="G100" s="21"/>
      <c r="H100" s="21"/>
      <c r="J100" s="37"/>
      <c r="L100" s="4" t="s">
        <v>57</v>
      </c>
      <c r="M100" s="340" t="s">
        <v>499</v>
      </c>
    </row>
    <row r="101" spans="1:13">
      <c r="A101" s="19" t="s">
        <v>58</v>
      </c>
      <c r="F101" s="20">
        <f>VLOOKUP($A$2,'LEA Pre-65 (1)'!$B:$EC,17,FALSE)/1000</f>
        <v>0</v>
      </c>
      <c r="G101" s="21"/>
      <c r="H101" s="21"/>
      <c r="J101" s="37"/>
      <c r="L101" s="4" t="s">
        <v>59</v>
      </c>
      <c r="M101" s="340" t="s">
        <v>499</v>
      </c>
    </row>
    <row r="102" spans="1:13">
      <c r="A102" s="19" t="s">
        <v>60</v>
      </c>
      <c r="F102" s="20">
        <f>VLOOKUP($A$2,'LEA Pre-65 (1)'!$B:$EC,18,FALSE)/1000</f>
        <v>0</v>
      </c>
      <c r="G102" s="21"/>
      <c r="H102" s="21"/>
      <c r="J102" s="37"/>
      <c r="L102" s="4" t="s">
        <v>61</v>
      </c>
      <c r="M102" s="340" t="s">
        <v>499</v>
      </c>
    </row>
    <row r="103" spans="1:13">
      <c r="A103" s="19" t="s">
        <v>62</v>
      </c>
      <c r="F103" s="20">
        <f>VLOOKUP($A$2,'LEA Pre-65 (1)'!$B:$EC,19,FALSE)/1000</f>
        <v>-28.274000000000001</v>
      </c>
      <c r="G103" s="21"/>
      <c r="H103" s="21"/>
      <c r="J103" s="37"/>
      <c r="L103" s="4" t="s">
        <v>63</v>
      </c>
      <c r="M103" s="340" t="s">
        <v>499</v>
      </c>
    </row>
    <row r="104" spans="1:13">
      <c r="A104" s="19" t="s">
        <v>64</v>
      </c>
      <c r="F104" s="20">
        <f>VLOOKUP($A$2,'LEA Pre-65 (1)'!$B:$EC,20,FALSE)/1000</f>
        <v>-27.193000000000001</v>
      </c>
      <c r="G104" s="21"/>
      <c r="H104" s="21"/>
      <c r="J104" s="37"/>
      <c r="L104" s="4" t="s">
        <v>65</v>
      </c>
      <c r="M104" s="340" t="s">
        <v>499</v>
      </c>
    </row>
    <row r="105" spans="1:13">
      <c r="A105" s="3"/>
      <c r="B105" s="3" t="s">
        <v>66</v>
      </c>
      <c r="F105" s="22">
        <f>SUM(F98:F104)</f>
        <v>-11.843000000000007</v>
      </c>
      <c r="G105" s="21"/>
      <c r="H105" s="21"/>
      <c r="J105" s="37"/>
      <c r="L105" s="4"/>
      <c r="M105" s="340"/>
    </row>
    <row r="106" spans="1:13" ht="15.75" thickBot="1">
      <c r="A106" s="3" t="s">
        <v>67</v>
      </c>
      <c r="F106" s="23">
        <f>F97+F105</f>
        <v>622.05100000000004</v>
      </c>
      <c r="G106" s="18"/>
      <c r="H106" s="18"/>
      <c r="J106" s="37"/>
      <c r="L106" s="4" t="s">
        <v>68</v>
      </c>
      <c r="M106" s="340" t="s">
        <v>499</v>
      </c>
    </row>
    <row r="107" spans="1:13" ht="15.75" thickTop="1">
      <c r="A107" s="3"/>
      <c r="G107" s="37"/>
      <c r="H107" s="37"/>
      <c r="J107" s="37"/>
      <c r="L107" s="4"/>
      <c r="M107" s="44"/>
    </row>
    <row r="108" spans="1:13" ht="27.75" customHeight="1">
      <c r="A108" s="269" t="s">
        <v>69</v>
      </c>
      <c r="B108" s="269"/>
      <c r="C108" s="269"/>
      <c r="D108" s="269"/>
      <c r="E108" s="269"/>
      <c r="F108" s="24">
        <f>VLOOKUP($A$2,'LEA Pre-65 (2)'!$B:$EC,9,FALSE)/1000</f>
        <v>177.38499999999999</v>
      </c>
      <c r="G108" s="37"/>
      <c r="H108" s="37"/>
      <c r="J108" s="37"/>
      <c r="L108" s="4" t="s">
        <v>70</v>
      </c>
      <c r="M108" s="358" t="s">
        <v>526</v>
      </c>
    </row>
    <row r="109" spans="1:13">
      <c r="A109" s="3"/>
      <c r="G109" s="37"/>
      <c r="H109" s="37"/>
      <c r="J109" s="37"/>
      <c r="L109" s="4"/>
      <c r="M109" s="44"/>
    </row>
    <row r="110" spans="1:13" ht="30.75" customHeight="1">
      <c r="A110" s="269" t="s">
        <v>71</v>
      </c>
      <c r="B110" s="269"/>
      <c r="C110" s="269"/>
      <c r="D110" s="269"/>
      <c r="E110" s="269"/>
      <c r="F110" s="24">
        <f>VLOOKUP($A$2,'LEA Pre-65 (2)'!$B:$EC,10,FALSE)/1000</f>
        <v>444.666</v>
      </c>
      <c r="G110" s="37"/>
      <c r="H110" s="37"/>
      <c r="J110" s="37"/>
      <c r="L110" s="4" t="s">
        <v>72</v>
      </c>
      <c r="M110" s="361" t="s">
        <v>503</v>
      </c>
    </row>
    <row r="111" spans="1:13">
      <c r="A111" s="3"/>
      <c r="G111" s="37"/>
      <c r="H111" s="37"/>
      <c r="J111" s="37"/>
      <c r="L111" s="4"/>
      <c r="M111" s="44"/>
    </row>
    <row r="112" spans="1:13">
      <c r="A112" s="269" t="s">
        <v>73</v>
      </c>
      <c r="B112" s="269"/>
      <c r="C112" s="269"/>
      <c r="D112" s="269"/>
      <c r="E112" s="269"/>
      <c r="F112" s="171">
        <f>F110/F106</f>
        <v>0.71483849394985288</v>
      </c>
      <c r="G112" s="37"/>
      <c r="H112" s="37"/>
      <c r="J112" s="37"/>
      <c r="L112" s="4" t="s">
        <v>74</v>
      </c>
      <c r="M112" s="342" t="s">
        <v>499</v>
      </c>
    </row>
    <row r="113" spans="1:14">
      <c r="A113" s="3"/>
      <c r="G113" s="37"/>
      <c r="H113" s="37"/>
      <c r="J113" s="37"/>
      <c r="L113" s="4"/>
      <c r="M113" s="44"/>
    </row>
    <row r="114" spans="1:14" ht="92.25" customHeight="1">
      <c r="A114" s="269" t="s">
        <v>429</v>
      </c>
      <c r="B114" s="269"/>
      <c r="C114" s="269"/>
      <c r="D114" s="269"/>
      <c r="E114" s="269"/>
      <c r="F114" s="269"/>
      <c r="G114" s="269"/>
      <c r="H114" s="269"/>
      <c r="I114" s="269"/>
      <c r="J114" s="37"/>
      <c r="L114" s="4" t="s">
        <v>75</v>
      </c>
      <c r="M114" s="341" t="s">
        <v>527</v>
      </c>
    </row>
    <row r="115" spans="1:14" ht="15.75" thickBot="1">
      <c r="A115" s="3"/>
      <c r="G115" s="37"/>
      <c r="H115" s="37"/>
      <c r="J115" s="37"/>
      <c r="L115" s="4"/>
      <c r="M115" s="44"/>
    </row>
    <row r="116" spans="1:14" s="139" customFormat="1">
      <c r="A116" s="151" t="s">
        <v>435</v>
      </c>
      <c r="B116" s="152"/>
      <c r="C116" s="152"/>
      <c r="D116" s="152"/>
      <c r="E116" s="152"/>
      <c r="F116" s="152"/>
      <c r="G116" s="152"/>
      <c r="H116" s="152"/>
      <c r="I116" s="153"/>
      <c r="J116" s="137"/>
      <c r="K116" s="137"/>
      <c r="L116" s="138"/>
      <c r="M116" s="141"/>
    </row>
    <row r="117" spans="1:14" s="139" customFormat="1">
      <c r="A117" s="154" t="s">
        <v>436</v>
      </c>
      <c r="B117" s="155"/>
      <c r="C117" s="155"/>
      <c r="D117" s="158">
        <f>VLOOKUP($A$2,'LEA Pre-65 (2)'!$B:$EC,7,FALSE)-VLOOKUP($A$2,'LEA Pre-65 (2)'!$B:$EC,7,FALSE)</f>
        <v>0</v>
      </c>
      <c r="E117" s="155"/>
      <c r="F117" s="155"/>
      <c r="G117" s="155"/>
      <c r="H117" s="155"/>
      <c r="I117" s="156"/>
      <c r="J117" s="137"/>
      <c r="K117" s="137"/>
      <c r="L117" s="138"/>
      <c r="M117" s="141"/>
    </row>
    <row r="118" spans="1:14" s="139" customFormat="1">
      <c r="A118" s="154" t="s">
        <v>437</v>
      </c>
      <c r="B118" s="155"/>
      <c r="C118" s="155"/>
      <c r="D118" s="128">
        <f>VLOOKUP($A$2,'LEA Pre-65 (2)'!$B:$EC,12,FALSE)/1000</f>
        <v>11.693</v>
      </c>
      <c r="E118" s="155"/>
      <c r="F118" s="155"/>
      <c r="G118" s="155"/>
      <c r="H118" s="155"/>
      <c r="I118" s="156"/>
      <c r="J118" s="137"/>
      <c r="K118" s="137"/>
      <c r="L118" s="138"/>
      <c r="M118" s="141" t="s">
        <v>525</v>
      </c>
    </row>
    <row r="119" spans="1:14" s="139" customFormat="1">
      <c r="A119" s="154"/>
      <c r="B119" s="155"/>
      <c r="C119" s="155"/>
      <c r="D119" s="158"/>
      <c r="E119" s="155"/>
      <c r="F119" s="155"/>
      <c r="G119" s="155"/>
      <c r="H119" s="155"/>
      <c r="I119" s="156"/>
      <c r="J119" s="137"/>
      <c r="K119" s="137"/>
      <c r="L119" s="138"/>
      <c r="M119" s="141"/>
    </row>
    <row r="120" spans="1:14" s="139" customFormat="1" ht="15.75" thickBot="1">
      <c r="A120" s="161"/>
      <c r="B120" s="157"/>
      <c r="C120" s="157"/>
      <c r="D120" s="157"/>
      <c r="E120" s="157"/>
      <c r="F120" s="157"/>
      <c r="G120" s="157"/>
      <c r="H120" s="157"/>
      <c r="I120" s="160"/>
      <c r="J120" s="137"/>
      <c r="K120" s="137"/>
      <c r="L120" s="138"/>
      <c r="M120" s="141"/>
    </row>
    <row r="121" spans="1:14" s="139" customFormat="1">
      <c r="A121" s="159"/>
      <c r="B121" s="140"/>
      <c r="C121" s="140"/>
      <c r="D121" s="140"/>
      <c r="E121" s="140"/>
      <c r="F121" s="140"/>
      <c r="G121" s="140"/>
      <c r="H121" s="140"/>
      <c r="I121" s="140"/>
      <c r="J121" s="137"/>
      <c r="K121" s="137"/>
      <c r="L121" s="138"/>
      <c r="M121" s="141"/>
    </row>
    <row r="122" spans="1:14" ht="27" customHeight="1">
      <c r="A122" s="269" t="s">
        <v>194</v>
      </c>
      <c r="B122" s="269"/>
      <c r="C122" s="269"/>
      <c r="D122" s="269"/>
      <c r="E122" s="269"/>
      <c r="F122" s="269"/>
      <c r="G122" s="269"/>
      <c r="H122" s="269"/>
      <c r="I122" s="269"/>
      <c r="J122" s="37"/>
      <c r="L122" s="4" t="s">
        <v>76</v>
      </c>
      <c r="M122" s="343" t="s">
        <v>501</v>
      </c>
    </row>
    <row r="123" spans="1:14">
      <c r="A123" s="3"/>
      <c r="J123" s="37"/>
      <c r="L123" s="4"/>
      <c r="M123" s="44"/>
    </row>
    <row r="124" spans="1:14" ht="30.75" hidden="1" customHeight="1">
      <c r="A124" s="269" t="s">
        <v>195</v>
      </c>
      <c r="B124" s="269"/>
      <c r="C124" s="269"/>
      <c r="D124" s="269"/>
      <c r="E124" s="269"/>
      <c r="F124" s="269"/>
      <c r="G124" s="269"/>
      <c r="H124" s="269"/>
      <c r="I124" s="269"/>
      <c r="J124" s="37"/>
      <c r="L124" s="4" t="s">
        <v>77</v>
      </c>
      <c r="M124" s="44"/>
      <c r="N124" s="42" t="s">
        <v>78</v>
      </c>
    </row>
    <row r="125" spans="1:14" hidden="1">
      <c r="A125" s="3"/>
      <c r="J125" s="37"/>
      <c r="L125" s="4"/>
      <c r="M125" s="44"/>
    </row>
    <row r="126" spans="1:14" ht="31.5" hidden="1" customHeight="1">
      <c r="A126" s="269" t="s">
        <v>196</v>
      </c>
      <c r="B126" s="269"/>
      <c r="C126" s="269"/>
      <c r="D126" s="269"/>
      <c r="E126" s="269"/>
      <c r="F126" s="269"/>
      <c r="G126" s="269"/>
      <c r="H126" s="269"/>
      <c r="I126" s="269"/>
      <c r="J126" s="37"/>
      <c r="L126" s="4" t="s">
        <v>79</v>
      </c>
      <c r="M126" s="44"/>
      <c r="N126" s="42" t="s">
        <v>78</v>
      </c>
    </row>
    <row r="127" spans="1:14" hidden="1">
      <c r="A127" s="3"/>
      <c r="J127" s="37"/>
      <c r="L127" s="4"/>
      <c r="M127" s="44"/>
    </row>
    <row r="128" spans="1:14" ht="56.25" hidden="1" customHeight="1">
      <c r="A128" s="269" t="s">
        <v>197</v>
      </c>
      <c r="B128" s="269"/>
      <c r="C128" s="269"/>
      <c r="D128" s="269"/>
      <c r="E128" s="269"/>
      <c r="F128" s="269"/>
      <c r="G128" s="269"/>
      <c r="H128" s="269"/>
      <c r="I128" s="269"/>
      <c r="J128" s="37"/>
      <c r="L128" s="4" t="s">
        <v>80</v>
      </c>
      <c r="M128" s="44"/>
      <c r="N128" s="42" t="s">
        <v>78</v>
      </c>
    </row>
    <row r="129" spans="1:13" hidden="1">
      <c r="A129" s="3"/>
      <c r="J129" s="37"/>
      <c r="L129" s="4"/>
      <c r="M129" s="44"/>
    </row>
    <row r="130" spans="1:13" ht="71.25" customHeight="1">
      <c r="A130" s="269" t="s">
        <v>438</v>
      </c>
      <c r="B130" s="269"/>
      <c r="C130" s="269"/>
      <c r="D130" s="269"/>
      <c r="E130" s="269"/>
      <c r="F130" s="269"/>
      <c r="G130" s="269"/>
      <c r="H130" s="269"/>
      <c r="I130" s="268"/>
      <c r="J130" s="37"/>
      <c r="L130" s="4" t="s">
        <v>81</v>
      </c>
      <c r="M130" s="344" t="s">
        <v>496</v>
      </c>
    </row>
    <row r="131" spans="1:13">
      <c r="A131" s="3"/>
      <c r="J131" s="37"/>
      <c r="L131" s="4"/>
      <c r="M131" s="44"/>
    </row>
    <row r="132" spans="1:13" ht="26.25" customHeight="1">
      <c r="A132" s="3"/>
      <c r="D132" s="270" t="s">
        <v>82</v>
      </c>
      <c r="E132" s="271"/>
      <c r="F132" s="270" t="s">
        <v>83</v>
      </c>
      <c r="G132" s="271"/>
      <c r="H132" s="270" t="s">
        <v>84</v>
      </c>
      <c r="I132" s="271"/>
      <c r="J132" s="37"/>
      <c r="L132" s="4"/>
      <c r="M132" s="345" t="s">
        <v>504</v>
      </c>
    </row>
    <row r="133" spans="1:13" ht="27" customHeight="1">
      <c r="A133" s="269" t="s">
        <v>85</v>
      </c>
      <c r="B133" s="269"/>
      <c r="C133" s="269"/>
      <c r="D133" s="26" t="s">
        <v>86</v>
      </c>
      <c r="E133" s="20">
        <f>VLOOKUP($A$2,'LEA Pre-65 (2)'!$B:$EC,55,FALSE)/1000</f>
        <v>476.685</v>
      </c>
      <c r="F133" s="26" t="s">
        <v>86</v>
      </c>
      <c r="G133" s="20">
        <f>VLOOKUP($A$2,'LEA Pre-65 (2)'!$B:$EC,10,FALSE)/1000</f>
        <v>444.666</v>
      </c>
      <c r="H133" s="26" t="s">
        <v>86</v>
      </c>
      <c r="I133" s="20">
        <f>VLOOKUP($A$2,'LEA Pre-65 (2)'!$B:$EC,56,FALSE)/1000</f>
        <v>414.89699999999999</v>
      </c>
      <c r="J133" s="37"/>
      <c r="L133" s="4"/>
      <c r="M133" s="345"/>
    </row>
    <row r="134" spans="1:13">
      <c r="A134" s="3"/>
      <c r="E134" s="20"/>
      <c r="G134" s="20"/>
      <c r="I134" s="20"/>
      <c r="J134" s="37"/>
      <c r="L134" s="4"/>
    </row>
    <row r="135" spans="1:13" ht="78.75" customHeight="1">
      <c r="A135" s="269" t="s">
        <v>539</v>
      </c>
      <c r="B135" s="269"/>
      <c r="C135" s="269"/>
      <c r="D135" s="269"/>
      <c r="E135" s="269"/>
      <c r="F135" s="269"/>
      <c r="G135" s="269"/>
      <c r="H135" s="269"/>
      <c r="I135" s="268"/>
      <c r="J135" s="37"/>
      <c r="L135" s="4" t="s">
        <v>87</v>
      </c>
      <c r="M135" s="345" t="s">
        <v>496</v>
      </c>
    </row>
    <row r="136" spans="1:13">
      <c r="A136" s="3"/>
      <c r="J136" s="37"/>
      <c r="L136" s="4"/>
      <c r="M136" s="44"/>
    </row>
    <row r="137" spans="1:13" ht="56.25" customHeight="1">
      <c r="A137" s="3"/>
      <c r="D137" s="270" t="s">
        <v>530</v>
      </c>
      <c r="E137" s="271"/>
      <c r="F137" s="270" t="s">
        <v>528</v>
      </c>
      <c r="G137" s="271"/>
      <c r="H137" s="270" t="s">
        <v>529</v>
      </c>
      <c r="I137" s="271"/>
      <c r="J137" s="37"/>
      <c r="L137" s="4"/>
      <c r="M137" s="345" t="s">
        <v>504</v>
      </c>
    </row>
    <row r="138" spans="1:13" ht="27" customHeight="1">
      <c r="A138" s="269" t="s">
        <v>85</v>
      </c>
      <c r="B138" s="269"/>
      <c r="C138" s="269"/>
      <c r="D138" s="26" t="s">
        <v>86</v>
      </c>
      <c r="E138" s="20">
        <f>VLOOKUP($A$2,'LEA Pre-65 (2)'!$B:$EC,57,FALSE)/1000</f>
        <v>401.72800000000001</v>
      </c>
      <c r="F138" s="26" t="s">
        <v>86</v>
      </c>
      <c r="G138" s="20">
        <f>VLOOKUP($A$2,'LEA Pre-65 (2)'!$B:$EC,10,FALSE)/1000</f>
        <v>444.666</v>
      </c>
      <c r="H138" s="26" t="s">
        <v>86</v>
      </c>
      <c r="I138" s="20">
        <f>VLOOKUP($A$2,'LEA Pre-65 (2)'!$B:$EC,58,FALSE)/1000</f>
        <v>494.75599999999997</v>
      </c>
      <c r="J138" s="37"/>
      <c r="L138" s="4"/>
      <c r="M138" s="345"/>
    </row>
    <row r="139" spans="1:13">
      <c r="A139" s="3"/>
      <c r="J139" s="37"/>
      <c r="L139" s="4"/>
    </row>
    <row r="140" spans="1:13">
      <c r="A140" s="11" t="s">
        <v>88</v>
      </c>
      <c r="J140" s="37"/>
      <c r="L140" s="4"/>
      <c r="M140" s="44"/>
    </row>
    <row r="141" spans="1:13">
      <c r="A141" s="3"/>
      <c r="J141" s="37"/>
      <c r="L141" s="4"/>
      <c r="M141" s="44"/>
    </row>
    <row r="142" spans="1:13" ht="35.25" customHeight="1">
      <c r="A142" s="269" t="s">
        <v>198</v>
      </c>
      <c r="B142" s="269"/>
      <c r="C142" s="269"/>
      <c r="D142" s="269"/>
      <c r="E142" s="269"/>
      <c r="F142" s="269"/>
      <c r="G142" s="269"/>
      <c r="H142" s="269"/>
      <c r="I142" s="269"/>
      <c r="J142" s="37"/>
      <c r="L142" s="4" t="s">
        <v>89</v>
      </c>
      <c r="M142" s="346" t="s">
        <v>496</v>
      </c>
    </row>
    <row r="143" spans="1:13" ht="15.75" thickBot="1">
      <c r="A143" s="3"/>
      <c r="J143" s="37"/>
      <c r="L143" s="4"/>
      <c r="M143" s="44"/>
    </row>
    <row r="144" spans="1:13" s="139" customFormat="1">
      <c r="A144" s="151" t="s">
        <v>435</v>
      </c>
      <c r="B144" s="152"/>
      <c r="C144" s="152"/>
      <c r="D144" s="152"/>
      <c r="E144" s="152"/>
      <c r="F144" s="152"/>
      <c r="G144" s="152"/>
      <c r="H144" s="152"/>
      <c r="I144" s="153"/>
      <c r="J144" s="137"/>
      <c r="K144" s="137"/>
      <c r="L144" s="138"/>
      <c r="M144" s="141"/>
    </row>
    <row r="145" spans="1:14" s="139" customFormat="1">
      <c r="A145" s="154" t="s">
        <v>168</v>
      </c>
      <c r="B145" s="155"/>
      <c r="C145" s="155"/>
      <c r="D145" s="128">
        <f>VLOOKUP($A$2,'LEA Pre-65 (2)'!$B:$EC,11,FALSE)/1000</f>
        <v>41.006</v>
      </c>
      <c r="E145" s="155"/>
      <c r="F145" s="155"/>
      <c r="G145" s="155"/>
      <c r="H145" s="155"/>
      <c r="I145" s="156"/>
      <c r="J145" s="137"/>
      <c r="K145" s="137"/>
      <c r="L145" s="138"/>
      <c r="M145" s="347" t="s">
        <v>505</v>
      </c>
    </row>
    <row r="146" spans="1:14" s="139" customFormat="1">
      <c r="A146" s="154"/>
      <c r="B146" s="155"/>
      <c r="C146" s="155"/>
      <c r="D146" s="158"/>
      <c r="E146" s="155"/>
      <c r="F146" s="155"/>
      <c r="G146" s="155"/>
      <c r="H146" s="155"/>
      <c r="I146" s="156"/>
      <c r="J146" s="137"/>
      <c r="K146" s="137"/>
      <c r="L146" s="138"/>
      <c r="M146" s="141"/>
    </row>
    <row r="147" spans="1:14" s="139" customFormat="1" ht="15.75" thickBot="1">
      <c r="A147" s="161"/>
      <c r="B147" s="157"/>
      <c r="C147" s="157"/>
      <c r="D147" s="157"/>
      <c r="E147" s="157"/>
      <c r="F147" s="157"/>
      <c r="G147" s="157"/>
      <c r="H147" s="157"/>
      <c r="I147" s="160"/>
      <c r="J147" s="137"/>
      <c r="K147" s="137"/>
      <c r="L147" s="138"/>
      <c r="M147" s="141"/>
    </row>
    <row r="148" spans="1:14" s="139" customFormat="1">
      <c r="A148" s="159"/>
      <c r="B148" s="140"/>
      <c r="C148" s="140"/>
      <c r="D148" s="140"/>
      <c r="E148" s="140"/>
      <c r="F148" s="140"/>
      <c r="G148" s="140"/>
      <c r="H148" s="140"/>
      <c r="I148" s="140"/>
      <c r="J148" s="137"/>
      <c r="K148" s="137"/>
      <c r="L148" s="138"/>
      <c r="M148" s="141"/>
    </row>
    <row r="149" spans="1:14" ht="39" customHeight="1">
      <c r="A149" s="269" t="s">
        <v>439</v>
      </c>
      <c r="B149" s="269"/>
      <c r="C149" s="269"/>
      <c r="D149" s="269"/>
      <c r="E149" s="269"/>
      <c r="F149" s="269"/>
      <c r="G149" s="269"/>
      <c r="H149" s="269"/>
      <c r="I149" s="269"/>
      <c r="J149" s="37"/>
      <c r="L149" s="4" t="s">
        <v>90</v>
      </c>
      <c r="M149" s="348" t="s">
        <v>496</v>
      </c>
    </row>
    <row r="150" spans="1:14">
      <c r="A150" s="36"/>
      <c r="B150" s="36"/>
      <c r="C150" s="36"/>
      <c r="D150" s="36"/>
      <c r="E150" s="36"/>
      <c r="F150" s="36"/>
      <c r="G150" s="36"/>
      <c r="H150" s="36"/>
      <c r="I150" s="36"/>
      <c r="J150" s="37"/>
      <c r="L150" s="4"/>
      <c r="M150" s="44"/>
    </row>
    <row r="151" spans="1:14">
      <c r="A151" s="267" t="s">
        <v>434</v>
      </c>
      <c r="B151" s="267"/>
      <c r="C151" s="267"/>
      <c r="D151" s="267"/>
      <c r="E151" s="36"/>
      <c r="F151" s="36"/>
      <c r="G151" s="36"/>
      <c r="H151" s="36"/>
      <c r="I151" s="36"/>
      <c r="J151" s="37"/>
      <c r="L151" s="4"/>
      <c r="M151" s="44"/>
    </row>
    <row r="152" spans="1:14" ht="51.75">
      <c r="A152" s="36"/>
      <c r="B152" s="36"/>
      <c r="C152" s="36"/>
      <c r="D152" s="36"/>
      <c r="E152" s="36"/>
      <c r="F152" s="36"/>
      <c r="G152" s="16" t="s">
        <v>91</v>
      </c>
      <c r="H152" s="36"/>
      <c r="I152" s="16" t="s">
        <v>92</v>
      </c>
      <c r="J152" s="37"/>
      <c r="L152" s="4"/>
      <c r="M152" s="349"/>
    </row>
    <row r="153" spans="1:14" ht="75">
      <c r="A153" s="27" t="s">
        <v>93</v>
      </c>
      <c r="B153" s="36"/>
      <c r="C153" s="36"/>
      <c r="D153" s="36"/>
      <c r="E153" s="36"/>
      <c r="F153" s="36"/>
      <c r="G153" s="28">
        <f>VLOOKUP($A$2,'LEA Pre-65 (2)'!$B:$EC,16,FALSE)/1000</f>
        <v>0</v>
      </c>
      <c r="H153" s="28"/>
      <c r="I153" s="28">
        <f>VLOOKUP($A$2,'LEA Pre-65 (2)'!$B:$EC,19,FALSE)/1000</f>
        <v>0</v>
      </c>
      <c r="J153" s="37"/>
      <c r="L153" s="4" t="s">
        <v>94</v>
      </c>
      <c r="M153" s="350" t="s">
        <v>531</v>
      </c>
    </row>
    <row r="154" spans="1:14">
      <c r="A154" s="27" t="s">
        <v>95</v>
      </c>
      <c r="B154" s="36"/>
      <c r="C154" s="36"/>
      <c r="D154" s="36"/>
      <c r="E154" s="36"/>
      <c r="F154" s="36"/>
      <c r="G154" s="29">
        <f>VLOOKUP($A$2,'LEA Pre-65 (2)'!$B:$EC,22,FALSE)/1000</f>
        <v>0</v>
      </c>
      <c r="H154" s="29"/>
      <c r="I154" s="29">
        <f>VLOOKUP($A$2,'LEA Pre-65 (2)'!$B:$EC,25,FALSE)/1000</f>
        <v>18.34</v>
      </c>
      <c r="J154" s="37"/>
      <c r="L154" s="4" t="s">
        <v>96</v>
      </c>
      <c r="M154" s="350" t="s">
        <v>499</v>
      </c>
    </row>
    <row r="155" spans="1:14" s="1" customFormat="1" ht="51.75" customHeight="1">
      <c r="A155" s="275" t="s">
        <v>97</v>
      </c>
      <c r="B155" s="275"/>
      <c r="C155" s="275"/>
      <c r="D155" s="275"/>
      <c r="E155" s="275"/>
      <c r="F155" s="36"/>
      <c r="G155" s="29">
        <v>0</v>
      </c>
      <c r="H155" s="29"/>
      <c r="I155" s="29">
        <v>0</v>
      </c>
      <c r="J155" s="37"/>
      <c r="K155" s="3"/>
      <c r="L155" s="4" t="s">
        <v>98</v>
      </c>
      <c r="M155" s="361" t="s">
        <v>499</v>
      </c>
      <c r="N155" s="36"/>
    </row>
    <row r="156" spans="1:14" ht="28.5" customHeight="1">
      <c r="A156" s="27" t="s">
        <v>99</v>
      </c>
      <c r="B156" s="36"/>
      <c r="C156" s="36"/>
      <c r="D156" s="36"/>
      <c r="E156" s="36"/>
      <c r="F156" s="36"/>
      <c r="G156" s="30">
        <f>-VLOOKUP($A$2,'LEA Pre-65 (2)'!$B:$EC,46,FALSE)/1000</f>
        <v>20.288</v>
      </c>
      <c r="H156" s="29"/>
      <c r="I156" s="30">
        <v>0</v>
      </c>
      <c r="J156" s="37"/>
      <c r="L156" s="4" t="s">
        <v>100</v>
      </c>
      <c r="M156" s="358" t="s">
        <v>532</v>
      </c>
    </row>
    <row r="157" spans="1:14" ht="15.75" thickBot="1">
      <c r="A157" s="36"/>
      <c r="B157" s="36" t="s">
        <v>101</v>
      </c>
      <c r="C157" s="36"/>
      <c r="D157" s="36"/>
      <c r="E157" s="36"/>
      <c r="F157" s="36"/>
      <c r="G157" s="31">
        <f>SUM(G153:G156)</f>
        <v>20.288</v>
      </c>
      <c r="H157" s="32"/>
      <c r="I157" s="31">
        <f>SUM(I153:I156)</f>
        <v>18.34</v>
      </c>
      <c r="J157" s="37"/>
      <c r="L157" s="4"/>
      <c r="M157" s="44"/>
    </row>
    <row r="158" spans="1:14" ht="15.75" thickTop="1">
      <c r="A158" s="36"/>
      <c r="B158" s="36"/>
      <c r="C158" s="36"/>
      <c r="D158" s="36"/>
      <c r="E158" s="36"/>
      <c r="F158" s="36"/>
      <c r="G158" s="36"/>
      <c r="H158" s="36"/>
      <c r="I158" s="36"/>
      <c r="J158" s="37"/>
      <c r="L158" s="4"/>
      <c r="M158" s="44"/>
    </row>
    <row r="159" spans="1:14" ht="29.25" customHeight="1">
      <c r="A159" s="269" t="s">
        <v>102</v>
      </c>
      <c r="B159" s="269"/>
      <c r="C159" s="269"/>
      <c r="D159" s="269"/>
      <c r="E159" s="269"/>
      <c r="F159" s="269"/>
      <c r="G159" s="269"/>
      <c r="H159" s="269"/>
      <c r="I159" s="269"/>
      <c r="J159" s="37"/>
      <c r="L159" s="4" t="s">
        <v>103</v>
      </c>
      <c r="M159" s="351" t="s">
        <v>496</v>
      </c>
    </row>
    <row r="160" spans="1:14">
      <c r="A160" s="36"/>
      <c r="B160" s="36"/>
      <c r="C160" s="36"/>
      <c r="D160" s="36"/>
      <c r="E160" s="36"/>
      <c r="F160" s="36"/>
      <c r="G160" s="36"/>
      <c r="H160" s="36"/>
      <c r="I160" s="36"/>
      <c r="J160" s="37"/>
      <c r="L160" s="4"/>
      <c r="M160" s="44"/>
    </row>
    <row r="161" spans="1:14" ht="26.25" customHeight="1">
      <c r="A161" s="269" t="s">
        <v>104</v>
      </c>
      <c r="B161" s="269"/>
      <c r="C161" s="269"/>
      <c r="D161" s="269"/>
      <c r="E161" s="269"/>
      <c r="F161" s="269"/>
      <c r="G161" s="269"/>
      <c r="H161" s="269"/>
      <c r="I161" s="269"/>
      <c r="J161" s="37"/>
      <c r="L161" s="4" t="s">
        <v>105</v>
      </c>
      <c r="M161" s="352" t="s">
        <v>496</v>
      </c>
    </row>
    <row r="162" spans="1:14">
      <c r="A162" s="36"/>
      <c r="B162" s="36"/>
      <c r="C162" s="36"/>
      <c r="D162" s="36"/>
      <c r="E162" s="36"/>
      <c r="F162" s="36"/>
      <c r="G162" s="36"/>
      <c r="H162" s="36"/>
      <c r="I162" s="36"/>
      <c r="J162" s="37"/>
      <c r="L162" s="4"/>
      <c r="M162" s="44"/>
    </row>
    <row r="163" spans="1:14" ht="60">
      <c r="A163" s="268" t="s">
        <v>434</v>
      </c>
      <c r="B163" s="268"/>
      <c r="C163" s="268"/>
      <c r="D163" s="268"/>
      <c r="E163" s="36"/>
      <c r="F163" s="36"/>
      <c r="G163" s="36"/>
      <c r="H163" s="36"/>
      <c r="I163" s="36"/>
      <c r="J163" s="37"/>
      <c r="L163" s="4"/>
      <c r="M163" s="354" t="s">
        <v>533</v>
      </c>
    </row>
    <row r="164" spans="1:14">
      <c r="A164" s="36"/>
      <c r="B164" s="36"/>
      <c r="C164" s="36"/>
      <c r="D164" s="36"/>
      <c r="E164" s="36"/>
      <c r="F164" s="36"/>
      <c r="G164" s="36"/>
      <c r="H164" s="36"/>
      <c r="I164" s="36"/>
      <c r="J164" s="37"/>
      <c r="L164" s="4"/>
      <c r="M164" s="354"/>
    </row>
    <row r="165" spans="1:14">
      <c r="A165" s="33" t="s">
        <v>106</v>
      </c>
      <c r="B165" s="36"/>
      <c r="C165" s="36"/>
      <c r="D165" s="36"/>
      <c r="E165" s="36"/>
      <c r="F165" s="36"/>
      <c r="G165" s="36"/>
      <c r="H165" s="36"/>
      <c r="I165" s="36"/>
      <c r="J165" s="37"/>
      <c r="L165" s="4"/>
      <c r="M165" s="354"/>
    </row>
    <row r="166" spans="1:14">
      <c r="A166" s="33"/>
      <c r="B166" s="36">
        <v>2019</v>
      </c>
      <c r="C166" s="36"/>
      <c r="D166" s="36"/>
      <c r="E166" s="36"/>
      <c r="F166" s="127">
        <f>VLOOKUP($A$2,'LEA Pre-65 (2)'!$B:$EC,38,FALSE)/1000</f>
        <v>-1.8714458839999999</v>
      </c>
      <c r="G166" s="36"/>
      <c r="H166" s="36"/>
      <c r="I166" s="36"/>
      <c r="J166" s="37"/>
      <c r="L166" s="4"/>
      <c r="M166" s="354" t="s">
        <v>499</v>
      </c>
    </row>
    <row r="167" spans="1:14">
      <c r="A167" s="33"/>
      <c r="B167" s="36">
        <v>2020</v>
      </c>
      <c r="C167" s="36"/>
      <c r="D167" s="36"/>
      <c r="E167" s="36"/>
      <c r="F167" s="131">
        <f>VLOOKUP($A$2,'LEA Pre-65 (2)'!$B:$EC,39,FALSE)/1000</f>
        <v>-1.8714458839999999</v>
      </c>
      <c r="G167" s="36"/>
      <c r="H167" s="36"/>
      <c r="I167" s="36"/>
      <c r="J167" s="37"/>
      <c r="L167" s="4"/>
      <c r="M167" s="354" t="s">
        <v>499</v>
      </c>
    </row>
    <row r="168" spans="1:14">
      <c r="A168" s="33"/>
      <c r="B168" s="36">
        <v>2021</v>
      </c>
      <c r="C168" s="36"/>
      <c r="D168" s="36"/>
      <c r="E168" s="36"/>
      <c r="F168" s="131">
        <f>VLOOKUP($A$2,'LEA Pre-65 (2)'!$B:$EC,40,FALSE)/1000</f>
        <v>-1.8714458839999999</v>
      </c>
      <c r="G168" s="36"/>
      <c r="H168" s="36"/>
      <c r="I168" s="36"/>
      <c r="J168" s="37"/>
      <c r="L168" s="4"/>
      <c r="M168" s="354" t="s">
        <v>499</v>
      </c>
    </row>
    <row r="169" spans="1:14">
      <c r="A169" s="33"/>
      <c r="B169" s="36">
        <v>2022</v>
      </c>
      <c r="C169" s="36"/>
      <c r="D169" s="36"/>
      <c r="E169" s="36"/>
      <c r="F169" s="131">
        <f>VLOOKUP($A$2,'LEA Pre-65 (2)'!$B:$EC,41,FALSE)/1000</f>
        <v>-1.8714458839999999</v>
      </c>
      <c r="G169" s="36"/>
      <c r="H169" s="36"/>
      <c r="I169" s="36"/>
      <c r="J169" s="37"/>
      <c r="L169" s="4"/>
      <c r="M169" s="354" t="s">
        <v>499</v>
      </c>
    </row>
    <row r="170" spans="1:14">
      <c r="A170" s="33"/>
      <c r="B170" s="36">
        <v>2023</v>
      </c>
      <c r="C170" s="36"/>
      <c r="D170" s="36"/>
      <c r="E170" s="36"/>
      <c r="F170" s="131">
        <f>VLOOKUP($A$2,'LEA Pre-65 (2)'!$B:$EC,42,FALSE)/1000</f>
        <v>-1.8714458839999999</v>
      </c>
      <c r="G170" s="36"/>
      <c r="H170" s="36"/>
      <c r="I170" s="36"/>
      <c r="J170" s="37"/>
      <c r="L170" s="4"/>
      <c r="M170" s="354" t="s">
        <v>499</v>
      </c>
    </row>
    <row r="171" spans="1:14">
      <c r="A171" s="33"/>
      <c r="B171" s="36" t="s">
        <v>107</v>
      </c>
      <c r="C171" s="36"/>
      <c r="D171" s="36"/>
      <c r="E171" s="36"/>
      <c r="F171" s="131">
        <f>VLOOKUP($A$2,'LEA Pre-65 (2)'!$B:$EC,43,FALSE)/1000</f>
        <v>-8.982654307999999</v>
      </c>
      <c r="G171" s="36"/>
      <c r="H171" s="36"/>
      <c r="I171" s="36"/>
      <c r="J171" s="37"/>
      <c r="L171" s="4"/>
      <c r="M171" s="354" t="s">
        <v>499</v>
      </c>
    </row>
    <row r="172" spans="1:14">
      <c r="A172" s="33"/>
      <c r="B172" s="36"/>
      <c r="C172" s="36"/>
      <c r="D172" s="36"/>
      <c r="E172" s="36"/>
      <c r="F172" s="36"/>
      <c r="G172" s="36"/>
      <c r="H172" s="36"/>
      <c r="I172" s="36"/>
      <c r="J172" s="37"/>
      <c r="L172" s="4"/>
    </row>
    <row r="173" spans="1:14" ht="29.25" customHeight="1">
      <c r="A173" s="269" t="s">
        <v>108</v>
      </c>
      <c r="B173" s="269"/>
      <c r="C173" s="269"/>
      <c r="D173" s="269"/>
      <c r="E173" s="269"/>
      <c r="F173" s="269"/>
      <c r="G173" s="269"/>
      <c r="H173" s="269"/>
      <c r="I173" s="269"/>
      <c r="J173" s="37"/>
      <c r="L173" s="4"/>
      <c r="M173" s="353" t="s">
        <v>496</v>
      </c>
      <c r="N173" s="44"/>
    </row>
    <row r="174" spans="1:14">
      <c r="A174" s="36"/>
      <c r="B174" s="36"/>
      <c r="C174" s="36"/>
      <c r="D174" s="36"/>
      <c r="E174" s="36"/>
      <c r="F174" s="36"/>
      <c r="G174" s="36"/>
      <c r="H174" s="36"/>
      <c r="I174" s="36"/>
      <c r="J174" s="37"/>
      <c r="L174" s="4"/>
      <c r="M174" s="44"/>
      <c r="N174" s="44"/>
    </row>
    <row r="175" spans="1:14">
      <c r="A175" s="36"/>
      <c r="B175" s="36"/>
      <c r="C175" s="36"/>
      <c r="D175" s="36"/>
      <c r="E175" s="36"/>
      <c r="F175" s="36"/>
      <c r="G175" s="36"/>
      <c r="H175" s="36"/>
      <c r="I175" s="36"/>
      <c r="J175" s="37"/>
      <c r="L175" s="4"/>
      <c r="M175" s="44"/>
    </row>
    <row r="176" spans="1:14">
      <c r="A176" s="36"/>
      <c r="B176" s="36"/>
      <c r="C176" s="36"/>
      <c r="D176" s="36"/>
      <c r="E176" s="36"/>
      <c r="F176" s="36"/>
      <c r="G176" s="36"/>
      <c r="H176" s="36"/>
      <c r="I176" s="36"/>
      <c r="J176" s="37"/>
      <c r="L176" s="4"/>
      <c r="M176" s="44"/>
    </row>
    <row r="177" spans="1:13">
      <c r="A177" s="3"/>
      <c r="J177" s="37"/>
      <c r="L177" s="4"/>
      <c r="M177" s="44"/>
    </row>
    <row r="178" spans="1:13">
      <c r="A178" s="273" t="s">
        <v>109</v>
      </c>
      <c r="B178" s="273"/>
      <c r="C178" s="273"/>
      <c r="D178" s="273"/>
      <c r="E178" s="273"/>
      <c r="F178" s="273"/>
      <c r="G178" s="273"/>
      <c r="H178" s="273"/>
      <c r="I178" s="274"/>
      <c r="J178" s="37"/>
      <c r="L178" s="4" t="s">
        <v>111</v>
      </c>
      <c r="M178" s="44"/>
    </row>
    <row r="179" spans="1:13" ht="29.25" customHeight="1">
      <c r="A179" s="272" t="s">
        <v>112</v>
      </c>
      <c r="B179" s="272"/>
      <c r="C179" s="272"/>
      <c r="D179" s="272"/>
      <c r="E179" s="272"/>
      <c r="F179" s="272"/>
      <c r="G179" s="272"/>
      <c r="H179" s="272"/>
      <c r="I179" s="276"/>
      <c r="J179" s="37"/>
      <c r="L179" s="4"/>
      <c r="M179" s="44"/>
    </row>
    <row r="180" spans="1:13">
      <c r="A180" s="272" t="s">
        <v>488</v>
      </c>
      <c r="B180" s="273"/>
      <c r="C180" s="273"/>
      <c r="D180" s="273"/>
      <c r="E180" s="273"/>
      <c r="F180" s="273"/>
      <c r="G180" s="273"/>
      <c r="H180" s="273"/>
      <c r="I180" s="274"/>
      <c r="J180" s="37"/>
      <c r="L180" s="4"/>
      <c r="M180" s="44"/>
    </row>
    <row r="181" spans="1:13">
      <c r="A181" s="10" t="s">
        <v>428</v>
      </c>
      <c r="J181" s="37"/>
      <c r="L181" s="4"/>
      <c r="M181" s="44"/>
    </row>
    <row r="182" spans="1:13">
      <c r="A182" s="3"/>
      <c r="E182" s="38">
        <v>2018</v>
      </c>
      <c r="F182" s="39"/>
      <c r="G182" s="39"/>
      <c r="H182" s="39"/>
      <c r="I182" s="39"/>
      <c r="J182" s="37"/>
      <c r="L182" s="4"/>
      <c r="M182" s="44"/>
    </row>
    <row r="183" spans="1:13">
      <c r="A183" s="10" t="s">
        <v>114</v>
      </c>
      <c r="C183" s="39"/>
      <c r="D183" s="39"/>
      <c r="E183" s="39"/>
      <c r="F183" s="39"/>
      <c r="G183" s="39"/>
      <c r="H183" s="39"/>
      <c r="I183" s="39"/>
      <c r="J183" s="39"/>
      <c r="K183" s="39"/>
      <c r="L183" s="45"/>
      <c r="M183" s="44"/>
    </row>
    <row r="184" spans="1:13" ht="30">
      <c r="A184" s="3" t="s">
        <v>115</v>
      </c>
      <c r="C184" s="34"/>
      <c r="D184" s="34"/>
      <c r="E184" s="34">
        <f>VLOOKUP($A$2,'LEA Pre-65 (1)'!$B:$EC,15,FALSE)/1000</f>
        <v>24.788</v>
      </c>
      <c r="F184" s="18"/>
      <c r="G184" s="18"/>
      <c r="H184" s="18"/>
      <c r="I184" s="18"/>
      <c r="J184" s="18"/>
      <c r="K184" s="34"/>
      <c r="L184" s="4" t="s">
        <v>116</v>
      </c>
      <c r="M184" s="356" t="s">
        <v>503</v>
      </c>
    </row>
    <row r="185" spans="1:13">
      <c r="A185" s="3" t="s">
        <v>117</v>
      </c>
      <c r="E185" s="170">
        <f>VLOOKUP($A$2,'LEA Pre-65 (1)'!$B:$EC,16,FALSE)/1000</f>
        <v>18.835999999999999</v>
      </c>
      <c r="F185" s="37"/>
      <c r="G185" s="37"/>
      <c r="H185" s="37"/>
      <c r="I185" s="37"/>
      <c r="J185" s="37"/>
      <c r="L185" s="4" t="s">
        <v>116</v>
      </c>
      <c r="M185" s="356" t="s">
        <v>499</v>
      </c>
    </row>
    <row r="186" spans="1:13">
      <c r="A186" s="3" t="s">
        <v>118</v>
      </c>
      <c r="E186" s="170">
        <f>VLOOKUP($A$2,'LEA Pre-65 (1)'!$B:$EC,17,FALSE)/1000</f>
        <v>0</v>
      </c>
      <c r="F186" s="37"/>
      <c r="G186" s="37"/>
      <c r="H186" s="37"/>
      <c r="I186" s="37"/>
      <c r="J186" s="37"/>
      <c r="L186" s="4" t="s">
        <v>116</v>
      </c>
      <c r="M186" s="356" t="s">
        <v>499</v>
      </c>
    </row>
    <row r="187" spans="1:13">
      <c r="A187" s="3" t="s">
        <v>119</v>
      </c>
      <c r="E187" s="170">
        <f>VLOOKUP($A$2,'LEA Pre-65 (1)'!$B:$EC,18,FALSE)/1000</f>
        <v>0</v>
      </c>
      <c r="F187" s="37"/>
      <c r="G187" s="37"/>
      <c r="H187" s="37"/>
      <c r="I187" s="37"/>
      <c r="J187" s="37"/>
      <c r="L187" s="4" t="s">
        <v>116</v>
      </c>
      <c r="M187" s="356" t="s">
        <v>499</v>
      </c>
    </row>
    <row r="188" spans="1:13">
      <c r="A188" s="3" t="s">
        <v>120</v>
      </c>
      <c r="E188" s="170">
        <f>VLOOKUP($A$2,'LEA Pre-65 (1)'!$B:$EC,19,FALSE)/1000</f>
        <v>-28.274000000000001</v>
      </c>
      <c r="F188" s="37"/>
      <c r="G188" s="37"/>
      <c r="H188" s="37"/>
      <c r="I188" s="37"/>
      <c r="J188" s="37"/>
      <c r="L188" s="4" t="s">
        <v>116</v>
      </c>
      <c r="M188" s="356" t="s">
        <v>499</v>
      </c>
    </row>
    <row r="189" spans="1:13">
      <c r="A189" s="3" t="s">
        <v>121</v>
      </c>
      <c r="E189" s="172">
        <f>VLOOKUP($A$2,'LEA Pre-65 (1)'!$B:$EC,20,FALSE)/1000</f>
        <v>-27.193000000000001</v>
      </c>
      <c r="F189" s="37"/>
      <c r="G189" s="37"/>
      <c r="H189" s="37"/>
      <c r="I189" s="37"/>
      <c r="J189" s="37"/>
      <c r="L189" s="4" t="s">
        <v>116</v>
      </c>
      <c r="M189" s="356" t="s">
        <v>499</v>
      </c>
    </row>
    <row r="190" spans="1:13">
      <c r="A190" s="10" t="s">
        <v>122</v>
      </c>
      <c r="E190" s="34">
        <f>SUM(E184:E189)</f>
        <v>-11.843000000000007</v>
      </c>
      <c r="F190" s="18"/>
      <c r="G190" s="18"/>
      <c r="H190" s="18"/>
      <c r="I190" s="18"/>
      <c r="J190" s="37"/>
      <c r="L190" s="4" t="s">
        <v>116</v>
      </c>
      <c r="M190" s="356" t="s">
        <v>499</v>
      </c>
    </row>
    <row r="191" spans="1:13">
      <c r="A191" s="10" t="s">
        <v>123</v>
      </c>
      <c r="E191" s="172">
        <f>VLOOKUP($A$2,'LEA Pre-65 (1)'!$B:$EC,7,FALSE)/1000</f>
        <v>633.89400000000001</v>
      </c>
      <c r="F191" s="37"/>
      <c r="G191" s="37"/>
      <c r="H191" s="37"/>
      <c r="I191" s="37"/>
      <c r="J191" s="37"/>
      <c r="L191" s="4" t="s">
        <v>116</v>
      </c>
      <c r="M191" s="356" t="s">
        <v>499</v>
      </c>
    </row>
    <row r="192" spans="1:13" ht="15.75" thickBot="1">
      <c r="A192" s="10" t="s">
        <v>124</v>
      </c>
      <c r="E192" s="23">
        <f>E190+E191</f>
        <v>622.05100000000004</v>
      </c>
      <c r="F192" s="18"/>
      <c r="G192" s="18"/>
      <c r="H192" s="18"/>
      <c r="I192" s="18"/>
      <c r="J192" s="37"/>
      <c r="L192" s="4" t="s">
        <v>125</v>
      </c>
      <c r="M192" s="356" t="s">
        <v>499</v>
      </c>
    </row>
    <row r="193" spans="1:14" ht="15.75" thickTop="1">
      <c r="A193" s="3"/>
      <c r="F193" s="37"/>
      <c r="G193" s="37"/>
      <c r="H193" s="37"/>
      <c r="I193" s="37"/>
      <c r="J193" s="37"/>
      <c r="L193" s="4"/>
      <c r="M193" s="44"/>
    </row>
    <row r="194" spans="1:14" ht="39" customHeight="1">
      <c r="A194" s="277" t="s">
        <v>126</v>
      </c>
      <c r="B194" s="277"/>
      <c r="C194" s="277"/>
      <c r="D194" s="277"/>
      <c r="E194" s="24">
        <f>VLOOKUP($A$2,'LEA Pre-65 (2)'!$B:$EC,9,FALSE)/1000</f>
        <v>177.38499999999999</v>
      </c>
      <c r="F194" s="24"/>
      <c r="G194" s="24"/>
      <c r="H194" s="24"/>
      <c r="I194" s="24"/>
      <c r="J194" s="37"/>
      <c r="L194" s="4" t="s">
        <v>127</v>
      </c>
      <c r="M194" s="358" t="s">
        <v>506</v>
      </c>
    </row>
    <row r="195" spans="1:14">
      <c r="A195" s="3"/>
      <c r="E195" s="24"/>
      <c r="F195" s="24"/>
      <c r="G195" s="24"/>
      <c r="H195" s="24"/>
      <c r="I195" s="24"/>
      <c r="J195" s="37"/>
      <c r="L195" s="4"/>
      <c r="M195" s="44"/>
    </row>
    <row r="196" spans="1:14" ht="26.25" customHeight="1">
      <c r="A196" s="277" t="s">
        <v>128</v>
      </c>
      <c r="B196" s="277"/>
      <c r="C196" s="277"/>
      <c r="D196" s="277"/>
      <c r="E196" s="24">
        <f>VLOOKUP($A$2,'LEA Pre-65 (2)'!$B:$EC,10,FALSE)/1000</f>
        <v>444.666</v>
      </c>
      <c r="F196" s="24"/>
      <c r="G196" s="24"/>
      <c r="H196" s="24"/>
      <c r="I196" s="24"/>
      <c r="J196" s="37"/>
      <c r="L196" s="4" t="s">
        <v>129</v>
      </c>
      <c r="M196" s="361" t="s">
        <v>503</v>
      </c>
    </row>
    <row r="197" spans="1:14">
      <c r="A197" s="3"/>
      <c r="J197" s="37"/>
      <c r="L197" s="4"/>
      <c r="M197" s="44"/>
    </row>
    <row r="198" spans="1:14" ht="72.75" customHeight="1">
      <c r="A198" s="10" t="s">
        <v>130</v>
      </c>
      <c r="E198" s="34" t="s">
        <v>440</v>
      </c>
      <c r="F198" s="34"/>
      <c r="G198" s="34"/>
      <c r="H198" s="34"/>
      <c r="I198" s="34"/>
      <c r="J198" s="37"/>
      <c r="L198" s="4" t="s">
        <v>131</v>
      </c>
      <c r="M198" s="355" t="s">
        <v>441</v>
      </c>
      <c r="N198" s="141"/>
    </row>
    <row r="199" spans="1:14">
      <c r="A199" s="3"/>
      <c r="J199" s="37"/>
      <c r="L199" s="4"/>
      <c r="M199" s="44"/>
    </row>
    <row r="200" spans="1:14" ht="45" customHeight="1">
      <c r="A200" s="277" t="s">
        <v>132</v>
      </c>
      <c r="B200" s="269"/>
      <c r="C200" s="269"/>
      <c r="D200" s="269"/>
      <c r="E200" s="35" t="e">
        <f>E196/E198</f>
        <v>#VALUE!</v>
      </c>
      <c r="F200" s="35"/>
      <c r="G200" s="35"/>
      <c r="H200" s="35"/>
      <c r="I200" s="35"/>
      <c r="J200" s="37"/>
      <c r="L200" s="4" t="s">
        <v>133</v>
      </c>
      <c r="M200" s="357" t="s">
        <v>506</v>
      </c>
    </row>
    <row r="201" spans="1:14">
      <c r="A201" s="3"/>
      <c r="J201" s="37"/>
      <c r="L201" s="4"/>
      <c r="M201" s="44"/>
    </row>
    <row r="202" spans="1:14" ht="17.25" customHeight="1">
      <c r="A202" s="10" t="s">
        <v>134</v>
      </c>
      <c r="J202" s="37"/>
      <c r="M202" s="44"/>
    </row>
    <row r="203" spans="1:14">
      <c r="A203" s="10"/>
      <c r="J203" s="37"/>
      <c r="M203" s="44"/>
    </row>
    <row r="204" spans="1:14" ht="27.75" customHeight="1">
      <c r="A204" s="269" t="s">
        <v>135</v>
      </c>
      <c r="B204" s="269"/>
      <c r="C204" s="269"/>
      <c r="D204" s="269"/>
      <c r="E204" s="269"/>
      <c r="F204" s="269"/>
      <c r="G204" s="269"/>
      <c r="H204" s="269"/>
      <c r="I204" s="269"/>
      <c r="J204" s="37"/>
      <c r="L204" s="4">
        <v>171</v>
      </c>
      <c r="M204" s="361" t="s">
        <v>496</v>
      </c>
    </row>
    <row r="205" spans="1:14">
      <c r="A205" s="3"/>
      <c r="J205" s="37"/>
      <c r="L205" s="4"/>
      <c r="M205" s="361"/>
    </row>
    <row r="206" spans="1:14">
      <c r="A206" s="269" t="s">
        <v>136</v>
      </c>
      <c r="B206" s="269"/>
      <c r="C206" s="269"/>
      <c r="D206" s="269"/>
      <c r="E206" s="269"/>
      <c r="F206" s="269"/>
      <c r="G206" s="269"/>
      <c r="H206" s="269"/>
      <c r="I206" s="269"/>
      <c r="J206" s="37"/>
      <c r="L206" s="4"/>
      <c r="M206" s="361" t="s">
        <v>499</v>
      </c>
    </row>
    <row r="207" spans="1:14">
      <c r="A207" s="3"/>
      <c r="J207" s="37"/>
      <c r="L207" s="4"/>
      <c r="M207" s="361"/>
    </row>
    <row r="208" spans="1:14" ht="25.5" customHeight="1">
      <c r="A208" s="269" t="s">
        <v>137</v>
      </c>
      <c r="B208" s="269"/>
      <c r="C208" s="269"/>
      <c r="D208" s="269"/>
      <c r="E208" s="269"/>
      <c r="F208" s="269"/>
      <c r="G208" s="269"/>
      <c r="H208" s="269"/>
      <c r="I208" s="269"/>
      <c r="J208" s="37"/>
      <c r="L208" s="4"/>
      <c r="M208" s="361" t="s">
        <v>507</v>
      </c>
    </row>
    <row r="209" spans="1:13">
      <c r="A209" s="3"/>
      <c r="J209" s="37"/>
      <c r="L209" s="4"/>
      <c r="M209" s="44"/>
    </row>
    <row r="210" spans="1:13">
      <c r="L210" s="4"/>
      <c r="M210" s="44"/>
    </row>
    <row r="211" spans="1:13">
      <c r="L211" s="4"/>
      <c r="M211" s="44"/>
    </row>
    <row r="212" spans="1:13">
      <c r="L212" s="4"/>
      <c r="M212" s="44"/>
    </row>
    <row r="213" spans="1:13">
      <c r="L213" s="4"/>
      <c r="M213" s="44"/>
    </row>
  </sheetData>
  <mergeCells count="70">
    <mergeCell ref="B30:I30"/>
    <mergeCell ref="B8:I8"/>
    <mergeCell ref="B10:I10"/>
    <mergeCell ref="B13:I13"/>
    <mergeCell ref="B15:I15"/>
    <mergeCell ref="B17:I17"/>
    <mergeCell ref="B19:I19"/>
    <mergeCell ref="B21:I21"/>
    <mergeCell ref="B23:I23"/>
    <mergeCell ref="B25:I25"/>
    <mergeCell ref="B28:I28"/>
    <mergeCell ref="A70:E70"/>
    <mergeCell ref="B32:I32"/>
    <mergeCell ref="B34:I34"/>
    <mergeCell ref="B36:I36"/>
    <mergeCell ref="B39:I39"/>
    <mergeCell ref="B41:I41"/>
    <mergeCell ref="A47:I47"/>
    <mergeCell ref="A59:I59"/>
    <mergeCell ref="A61:I61"/>
    <mergeCell ref="A63:I63"/>
    <mergeCell ref="A66:E66"/>
    <mergeCell ref="A68:E68"/>
    <mergeCell ref="A53:I53"/>
    <mergeCell ref="A135:I135"/>
    <mergeCell ref="A112:E112"/>
    <mergeCell ref="A73:I73"/>
    <mergeCell ref="A81:I81"/>
    <mergeCell ref="E83:H83"/>
    <mergeCell ref="E84:H84"/>
    <mergeCell ref="E85:H85"/>
    <mergeCell ref="B86:D86"/>
    <mergeCell ref="E86:H86"/>
    <mergeCell ref="A89:I89"/>
    <mergeCell ref="A91:I91"/>
    <mergeCell ref="A108:E108"/>
    <mergeCell ref="A110:E110"/>
    <mergeCell ref="A130:I130"/>
    <mergeCell ref="D132:E132"/>
    <mergeCell ref="A206:I206"/>
    <mergeCell ref="A208:I208"/>
    <mergeCell ref="A180:I180"/>
    <mergeCell ref="A138:C138"/>
    <mergeCell ref="A142:I142"/>
    <mergeCell ref="A149:I149"/>
    <mergeCell ref="A155:E155"/>
    <mergeCell ref="A159:I159"/>
    <mergeCell ref="A161:I161"/>
    <mergeCell ref="A173:I173"/>
    <mergeCell ref="A178:I178"/>
    <mergeCell ref="A179:I179"/>
    <mergeCell ref="A194:D194"/>
    <mergeCell ref="A196:D196"/>
    <mergeCell ref="A200:D200"/>
    <mergeCell ref="A2:E2"/>
    <mergeCell ref="A95:D95"/>
    <mergeCell ref="A151:D151"/>
    <mergeCell ref="A163:D163"/>
    <mergeCell ref="A204:I204"/>
    <mergeCell ref="D137:E137"/>
    <mergeCell ref="F137:G137"/>
    <mergeCell ref="H137:I137"/>
    <mergeCell ref="F132:G132"/>
    <mergeCell ref="H132:I132"/>
    <mergeCell ref="A133:C133"/>
    <mergeCell ref="A114:I114"/>
    <mergeCell ref="A122:I122"/>
    <mergeCell ref="A124:I124"/>
    <mergeCell ref="A126:I126"/>
    <mergeCell ref="A128:I128"/>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14:formula1>
            <xm:f>'LEA Pre-65 (1)'!$B$5:$B$150</xm:f>
          </x14:formula1>
          <xm:sqref>A2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5"/>
  <sheetViews>
    <sheetView workbookViewId="0">
      <pane ySplit="2" topLeftCell="A100" activePane="bottomLeft" state="frozen"/>
      <selection pane="bottomLeft" activeCell="M92" sqref="M92:M107"/>
    </sheetView>
  </sheetViews>
  <sheetFormatPr defaultRowHeight="15"/>
  <cols>
    <col min="1" max="1" width="9.140625" style="12"/>
    <col min="2" max="8" width="9.140625" style="3"/>
    <col min="9" max="9" width="9.140625" style="3" customWidth="1"/>
    <col min="10" max="10" width="5.85546875" style="3" customWidth="1"/>
    <col min="11" max="11" width="9.140625" style="3"/>
    <col min="12" max="12" width="15.140625" style="3" customWidth="1"/>
    <col min="13" max="13" width="46.28515625" style="41" customWidth="1"/>
    <col min="14" max="14" width="49.7109375" style="44" customWidth="1"/>
    <col min="15" max="16384" width="9.140625" style="2"/>
  </cols>
  <sheetData>
    <row r="1" spans="1:14" s="191" customFormat="1">
      <c r="A1" s="142" t="s">
        <v>158</v>
      </c>
      <c r="F1" s="148"/>
      <c r="G1" s="139"/>
      <c r="H1" s="139"/>
      <c r="I1" s="148"/>
      <c r="J1" s="139"/>
      <c r="K1" s="139"/>
    </row>
    <row r="2" spans="1:14" s="191" customFormat="1">
      <c r="A2" s="265" t="s">
        <v>250</v>
      </c>
      <c r="B2" s="265"/>
      <c r="C2" s="265"/>
      <c r="D2" s="265"/>
      <c r="E2" s="265"/>
      <c r="F2" s="149"/>
      <c r="G2" s="139"/>
      <c r="H2" s="139"/>
      <c r="I2" s="149"/>
      <c r="J2" s="139"/>
      <c r="K2" s="139"/>
    </row>
    <row r="3" spans="1:14" s="1" customFormat="1" ht="27" customHeight="1">
      <c r="A3" s="282" t="s">
        <v>491</v>
      </c>
      <c r="B3" s="282"/>
      <c r="C3" s="282"/>
      <c r="D3" s="282"/>
      <c r="E3" s="282"/>
      <c r="F3" s="282"/>
      <c r="G3" s="282"/>
      <c r="H3" s="282"/>
      <c r="I3" s="282"/>
      <c r="J3" s="3"/>
      <c r="K3" s="3"/>
      <c r="L3" s="4"/>
      <c r="M3" s="3"/>
      <c r="N3" s="3"/>
    </row>
    <row r="4" spans="1:14">
      <c r="A4" s="40" t="s">
        <v>0</v>
      </c>
      <c r="B4" s="10"/>
      <c r="C4" s="10"/>
      <c r="D4" s="10"/>
      <c r="E4" s="10"/>
      <c r="F4" s="10"/>
      <c r="G4" s="10"/>
      <c r="H4" s="10"/>
      <c r="I4" s="10"/>
      <c r="J4" s="10"/>
      <c r="K4" s="10"/>
    </row>
    <row r="5" spans="1:14" ht="57.75" customHeight="1">
      <c r="B5" s="283" t="s">
        <v>471</v>
      </c>
      <c r="C5" s="283"/>
      <c r="D5" s="283"/>
      <c r="E5" s="283"/>
      <c r="F5" s="283"/>
      <c r="G5" s="283"/>
      <c r="H5" s="283"/>
      <c r="I5" s="283"/>
      <c r="L5" s="281"/>
      <c r="M5" s="281"/>
      <c r="N5" s="281"/>
    </row>
    <row r="6" spans="1:14">
      <c r="M6" s="3"/>
      <c r="N6" s="3"/>
    </row>
    <row r="7" spans="1:14">
      <c r="B7" s="3" t="s">
        <v>1</v>
      </c>
    </row>
    <row r="9" spans="1:14">
      <c r="A9" s="43"/>
      <c r="B9" s="10" t="s">
        <v>2</v>
      </c>
    </row>
    <row r="10" spans="1:14" ht="51.75" customHeight="1">
      <c r="A10" s="43" t="s">
        <v>3</v>
      </c>
      <c r="B10" s="269" t="s">
        <v>138</v>
      </c>
      <c r="C10" s="269"/>
      <c r="D10" s="269"/>
      <c r="E10" s="269"/>
      <c r="F10" s="269"/>
      <c r="G10" s="269"/>
      <c r="H10" s="269"/>
      <c r="I10" s="269"/>
      <c r="K10" s="3" t="s">
        <v>5</v>
      </c>
      <c r="M10" s="41">
        <v>193</v>
      </c>
    </row>
    <row r="11" spans="1:14">
      <c r="A11" s="43"/>
    </row>
    <row r="12" spans="1:14" ht="42" customHeight="1">
      <c r="A12" s="43" t="s">
        <v>3</v>
      </c>
      <c r="B12" s="269" t="s">
        <v>6</v>
      </c>
      <c r="C12" s="269"/>
      <c r="D12" s="269"/>
      <c r="E12" s="269"/>
      <c r="F12" s="269"/>
      <c r="G12" s="269"/>
      <c r="H12" s="269"/>
      <c r="I12" s="269"/>
      <c r="K12" s="3" t="s">
        <v>474</v>
      </c>
      <c r="M12" s="41" t="s">
        <v>8</v>
      </c>
    </row>
    <row r="13" spans="1:14">
      <c r="A13" s="43"/>
    </row>
    <row r="14" spans="1:14">
      <c r="A14" s="43"/>
      <c r="B14" s="10" t="s">
        <v>9</v>
      </c>
    </row>
    <row r="15" spans="1:14" ht="78" customHeight="1">
      <c r="A15" s="43" t="s">
        <v>3</v>
      </c>
      <c r="B15" s="269" t="s">
        <v>10</v>
      </c>
      <c r="C15" s="269"/>
      <c r="D15" s="269"/>
      <c r="E15" s="269"/>
      <c r="F15" s="269"/>
      <c r="G15" s="269"/>
      <c r="H15" s="269"/>
      <c r="I15" s="269"/>
      <c r="K15" s="3" t="s">
        <v>5</v>
      </c>
      <c r="M15" s="41" t="s">
        <v>11</v>
      </c>
    </row>
    <row r="16" spans="1:14">
      <c r="A16" s="43"/>
      <c r="B16" s="10"/>
    </row>
    <row r="17" spans="1:13" ht="51.75" customHeight="1">
      <c r="A17" s="43">
        <v>1</v>
      </c>
      <c r="B17" s="269" t="s">
        <v>12</v>
      </c>
      <c r="C17" s="269"/>
      <c r="D17" s="269"/>
      <c r="E17" s="269"/>
      <c r="F17" s="269"/>
      <c r="G17" s="269"/>
      <c r="H17" s="269"/>
      <c r="I17" s="269"/>
      <c r="K17" s="3" t="s">
        <v>5</v>
      </c>
      <c r="M17" s="41" t="s">
        <v>13</v>
      </c>
    </row>
    <row r="18" spans="1:13">
      <c r="A18" s="43"/>
    </row>
    <row r="19" spans="1:13" ht="53.25" customHeight="1">
      <c r="A19" s="43">
        <v>2</v>
      </c>
      <c r="B19" s="269" t="s">
        <v>14</v>
      </c>
      <c r="C19" s="269"/>
      <c r="D19" s="269"/>
      <c r="E19" s="269"/>
      <c r="F19" s="269"/>
      <c r="G19" s="269"/>
      <c r="H19" s="269"/>
      <c r="I19" s="269"/>
      <c r="K19" s="3" t="s">
        <v>5</v>
      </c>
      <c r="M19" s="41" t="s">
        <v>15</v>
      </c>
    </row>
    <row r="20" spans="1:13">
      <c r="A20" s="43"/>
    </row>
    <row r="21" spans="1:13" ht="78.75" customHeight="1">
      <c r="A21" s="43">
        <v>3</v>
      </c>
      <c r="B21" s="269" t="s">
        <v>16</v>
      </c>
      <c r="C21" s="269"/>
      <c r="D21" s="269"/>
      <c r="E21" s="269"/>
      <c r="F21" s="269"/>
      <c r="G21" s="269"/>
      <c r="H21" s="269"/>
      <c r="I21" s="269"/>
      <c r="K21" s="3" t="s">
        <v>5</v>
      </c>
      <c r="M21" s="41">
        <v>196</v>
      </c>
    </row>
    <row r="22" spans="1:13">
      <c r="A22" s="43"/>
      <c r="B22" s="36"/>
      <c r="C22" s="36"/>
      <c r="D22" s="36"/>
      <c r="E22" s="36"/>
      <c r="F22" s="36"/>
      <c r="G22" s="36"/>
      <c r="H22" s="36"/>
      <c r="I22" s="36"/>
    </row>
    <row r="23" spans="1:13" ht="79.5" customHeight="1">
      <c r="A23" s="43">
        <v>4</v>
      </c>
      <c r="B23" s="269" t="s">
        <v>17</v>
      </c>
      <c r="C23" s="269"/>
      <c r="D23" s="269"/>
      <c r="E23" s="269"/>
      <c r="F23" s="269"/>
      <c r="G23" s="269"/>
      <c r="H23" s="269"/>
      <c r="I23" s="269"/>
      <c r="K23" s="3" t="s">
        <v>5</v>
      </c>
      <c r="M23" s="41">
        <v>197</v>
      </c>
    </row>
    <row r="24" spans="1:13">
      <c r="A24" s="43"/>
    </row>
    <row r="25" spans="1:13" ht="39" customHeight="1">
      <c r="A25" s="43">
        <v>5</v>
      </c>
      <c r="B25" s="269" t="s">
        <v>18</v>
      </c>
      <c r="C25" s="269"/>
      <c r="D25" s="269"/>
      <c r="E25" s="269"/>
      <c r="F25" s="269"/>
      <c r="G25" s="269"/>
      <c r="H25" s="269"/>
      <c r="I25" s="269"/>
      <c r="K25" s="3" t="s">
        <v>5</v>
      </c>
      <c r="M25" s="41">
        <v>198</v>
      </c>
    </row>
    <row r="26" spans="1:13">
      <c r="A26" s="43"/>
    </row>
    <row r="27" spans="1:13" ht="52.5" customHeight="1">
      <c r="A27" s="43">
        <v>6</v>
      </c>
      <c r="B27" s="269" t="s">
        <v>19</v>
      </c>
      <c r="C27" s="269"/>
      <c r="D27" s="269"/>
      <c r="E27" s="269"/>
      <c r="F27" s="269"/>
      <c r="G27" s="269"/>
      <c r="H27" s="269"/>
      <c r="I27" s="269"/>
      <c r="K27" s="3" t="s">
        <v>474</v>
      </c>
      <c r="M27" s="41" t="s">
        <v>20</v>
      </c>
    </row>
    <row r="28" spans="1:13">
      <c r="A28" s="43"/>
    </row>
    <row r="29" spans="1:13">
      <c r="A29" s="43"/>
      <c r="B29" s="10" t="s">
        <v>21</v>
      </c>
    </row>
    <row r="30" spans="1:13" ht="26.25" customHeight="1">
      <c r="A30" s="43">
        <v>1</v>
      </c>
      <c r="B30" s="269" t="s">
        <v>22</v>
      </c>
      <c r="C30" s="269"/>
      <c r="D30" s="269"/>
      <c r="E30" s="269"/>
      <c r="F30" s="269"/>
      <c r="G30" s="269"/>
      <c r="H30" s="269"/>
      <c r="I30" s="269"/>
      <c r="K30" s="3" t="s">
        <v>5</v>
      </c>
      <c r="M30" s="41" t="s">
        <v>13</v>
      </c>
    </row>
    <row r="31" spans="1:13">
      <c r="A31" s="43"/>
    </row>
    <row r="32" spans="1:13" ht="26.25" customHeight="1">
      <c r="A32" s="43">
        <v>2</v>
      </c>
      <c r="B32" s="269" t="s">
        <v>23</v>
      </c>
      <c r="C32" s="269"/>
      <c r="D32" s="269"/>
      <c r="E32" s="269"/>
      <c r="F32" s="269"/>
      <c r="G32" s="269"/>
      <c r="H32" s="269"/>
      <c r="I32" s="269"/>
      <c r="K32" s="3" t="s">
        <v>5</v>
      </c>
      <c r="M32" s="41" t="s">
        <v>15</v>
      </c>
    </row>
    <row r="33" spans="1:14">
      <c r="A33" s="43"/>
    </row>
    <row r="34" spans="1:14" ht="26.25" customHeight="1">
      <c r="A34" s="43">
        <v>3</v>
      </c>
      <c r="B34" s="269" t="s">
        <v>24</v>
      </c>
      <c r="C34" s="269"/>
      <c r="D34" s="269"/>
      <c r="E34" s="269"/>
      <c r="F34" s="269"/>
      <c r="G34" s="269"/>
      <c r="H34" s="269"/>
      <c r="I34" s="269"/>
      <c r="K34" s="3" t="s">
        <v>5</v>
      </c>
      <c r="M34" s="41">
        <v>196</v>
      </c>
    </row>
    <row r="35" spans="1:14">
      <c r="A35" s="43"/>
      <c r="B35" s="36"/>
      <c r="C35" s="36"/>
      <c r="D35" s="36"/>
      <c r="E35" s="36"/>
      <c r="F35" s="36"/>
      <c r="G35" s="36"/>
      <c r="H35" s="36"/>
      <c r="I35" s="36"/>
    </row>
    <row r="36" spans="1:14" ht="24.75" customHeight="1">
      <c r="A36" s="43">
        <v>4</v>
      </c>
      <c r="B36" s="269" t="s">
        <v>25</v>
      </c>
      <c r="C36" s="269"/>
      <c r="D36" s="269"/>
      <c r="E36" s="269"/>
      <c r="F36" s="269"/>
      <c r="G36" s="269"/>
      <c r="H36" s="269"/>
      <c r="I36" s="269"/>
      <c r="K36" s="3" t="s">
        <v>5</v>
      </c>
      <c r="M36" s="41">
        <v>197</v>
      </c>
    </row>
    <row r="37" spans="1:14">
      <c r="A37" s="43"/>
    </row>
    <row r="38" spans="1:14" ht="53.25" customHeight="1">
      <c r="A38" s="43">
        <v>5</v>
      </c>
      <c r="B38" s="269" t="s">
        <v>26</v>
      </c>
      <c r="C38" s="269"/>
      <c r="D38" s="269"/>
      <c r="E38" s="269"/>
      <c r="F38" s="269"/>
      <c r="G38" s="269"/>
      <c r="H38" s="269"/>
      <c r="I38" s="269"/>
      <c r="K38" s="3" t="s">
        <v>5</v>
      </c>
      <c r="M38" s="41">
        <v>199</v>
      </c>
    </row>
    <row r="39" spans="1:14">
      <c r="A39" s="43"/>
    </row>
    <row r="40" spans="1:14">
      <c r="A40" s="43"/>
      <c r="B40" s="10" t="s">
        <v>154</v>
      </c>
    </row>
    <row r="41" spans="1:14" ht="39.75" customHeight="1">
      <c r="A41" s="43" t="s">
        <v>3</v>
      </c>
      <c r="B41" s="269" t="s">
        <v>139</v>
      </c>
      <c r="C41" s="269"/>
      <c r="D41" s="269"/>
      <c r="E41" s="269"/>
      <c r="F41" s="269"/>
      <c r="G41" s="269"/>
      <c r="H41" s="269"/>
      <c r="I41" s="269"/>
      <c r="K41" s="3" t="s">
        <v>5</v>
      </c>
      <c r="M41" s="41">
        <v>200</v>
      </c>
    </row>
    <row r="42" spans="1:14">
      <c r="A42" s="43"/>
    </row>
    <row r="43" spans="1:14" ht="27.75" customHeight="1">
      <c r="A43" s="43" t="s">
        <v>3</v>
      </c>
      <c r="B43" s="269" t="s">
        <v>29</v>
      </c>
      <c r="C43" s="269"/>
      <c r="D43" s="269"/>
      <c r="E43" s="269"/>
      <c r="F43" s="269"/>
      <c r="G43" s="269"/>
      <c r="H43" s="269"/>
      <c r="I43" s="269"/>
      <c r="K43" s="3" t="s">
        <v>474</v>
      </c>
      <c r="M43" s="41" t="s">
        <v>30</v>
      </c>
      <c r="N43" s="42"/>
    </row>
    <row r="44" spans="1:14">
      <c r="A44" s="43"/>
      <c r="N44" s="42"/>
    </row>
    <row r="45" spans="1:14">
      <c r="A45" s="10" t="s">
        <v>31</v>
      </c>
      <c r="B45" s="10"/>
      <c r="L45" s="4"/>
      <c r="M45" s="44"/>
    </row>
    <row r="46" spans="1:14">
      <c r="L46" s="4"/>
      <c r="M46" s="44"/>
    </row>
    <row r="47" spans="1:14">
      <c r="A47" s="10" t="s">
        <v>32</v>
      </c>
      <c r="B47" s="10"/>
      <c r="L47" s="328" t="s">
        <v>494</v>
      </c>
      <c r="M47" s="360" t="s">
        <v>493</v>
      </c>
    </row>
    <row r="48" spans="1:14">
      <c r="A48" s="10"/>
      <c r="B48" s="10"/>
      <c r="L48" s="4"/>
      <c r="M48" s="44"/>
    </row>
    <row r="49" spans="1:14" ht="54" customHeight="1">
      <c r="A49" s="269" t="s">
        <v>33</v>
      </c>
      <c r="B49" s="269"/>
      <c r="C49" s="269"/>
      <c r="D49" s="269"/>
      <c r="E49" s="269"/>
      <c r="F49" s="269"/>
      <c r="G49" s="269"/>
      <c r="H49" s="269"/>
      <c r="I49" s="269"/>
      <c r="L49" s="4">
        <v>162</v>
      </c>
      <c r="M49" s="44"/>
    </row>
    <row r="50" spans="1:14">
      <c r="A50" s="3"/>
      <c r="L50" s="4"/>
      <c r="M50" s="44"/>
    </row>
    <row r="51" spans="1:14">
      <c r="A51" s="10" t="s">
        <v>140</v>
      </c>
      <c r="B51" s="10"/>
      <c r="L51" s="4"/>
      <c r="M51" s="44"/>
    </row>
    <row r="52" spans="1:14">
      <c r="A52" s="10"/>
      <c r="B52" s="10"/>
      <c r="L52" s="4"/>
      <c r="M52" s="44"/>
    </row>
    <row r="53" spans="1:14">
      <c r="A53" s="11" t="s">
        <v>34</v>
      </c>
      <c r="B53" s="11"/>
      <c r="L53" s="4"/>
      <c r="M53" s="44"/>
    </row>
    <row r="54" spans="1:14">
      <c r="L54" s="4"/>
      <c r="M54" s="44"/>
    </row>
    <row r="55" spans="1:14" ht="121.5" customHeight="1">
      <c r="A55" s="281" t="s">
        <v>199</v>
      </c>
      <c r="B55" s="281"/>
      <c r="C55" s="281"/>
      <c r="D55" s="281"/>
      <c r="E55" s="281"/>
      <c r="F55" s="281"/>
      <c r="G55" s="281"/>
      <c r="H55" s="281"/>
      <c r="I55" s="281"/>
      <c r="L55" s="4" t="s">
        <v>35</v>
      </c>
      <c r="M55" s="358" t="s">
        <v>496</v>
      </c>
      <c r="N55" s="36"/>
    </row>
    <row r="56" spans="1:14">
      <c r="B56" s="36"/>
      <c r="C56" s="36"/>
      <c r="D56" s="36"/>
      <c r="E56" s="36"/>
      <c r="F56" s="36"/>
      <c r="G56" s="36"/>
      <c r="H56" s="36"/>
      <c r="I56" s="36"/>
      <c r="L56" s="4"/>
      <c r="M56" s="362"/>
    </row>
    <row r="57" spans="1:14" ht="203.25" customHeight="1">
      <c r="A57" s="281" t="s">
        <v>481</v>
      </c>
      <c r="B57" s="281"/>
      <c r="C57" s="281"/>
      <c r="D57" s="281"/>
      <c r="E57" s="281"/>
      <c r="F57" s="281"/>
      <c r="G57" s="281"/>
      <c r="H57" s="281"/>
      <c r="I57" s="281"/>
      <c r="L57" s="4" t="s">
        <v>141</v>
      </c>
      <c r="M57" s="358" t="s">
        <v>497</v>
      </c>
      <c r="N57" s="36"/>
    </row>
    <row r="58" spans="1:14">
      <c r="L58" s="4"/>
      <c r="M58" s="362"/>
    </row>
    <row r="59" spans="1:14" ht="28.5" customHeight="1">
      <c r="A59" s="269" t="s">
        <v>201</v>
      </c>
      <c r="B59" s="269"/>
      <c r="C59" s="269"/>
      <c r="D59" s="269"/>
      <c r="E59" s="269"/>
      <c r="F59" s="269"/>
      <c r="G59" s="269"/>
      <c r="H59" s="269"/>
      <c r="I59" s="269"/>
      <c r="L59" s="4" t="s">
        <v>37</v>
      </c>
      <c r="M59" s="362"/>
    </row>
    <row r="60" spans="1:14">
      <c r="L60" s="4"/>
      <c r="M60" s="362"/>
    </row>
    <row r="61" spans="1:14">
      <c r="G61" s="13"/>
      <c r="I61" s="13"/>
      <c r="L61" s="4"/>
      <c r="M61" s="362"/>
    </row>
    <row r="62" spans="1:14" ht="24.75" customHeight="1">
      <c r="A62" s="281" t="s">
        <v>190</v>
      </c>
      <c r="B62" s="281"/>
      <c r="C62" s="281"/>
      <c r="D62" s="281"/>
      <c r="E62" s="281"/>
      <c r="G62" s="150">
        <f>VLOOKUP($A$2,'LEA Post-65 (1)'!$B:$EC,2,FALSE)</f>
        <v>6</v>
      </c>
      <c r="I62" s="37"/>
      <c r="L62" s="4"/>
      <c r="M62" s="363" t="s">
        <v>498</v>
      </c>
    </row>
    <row r="63" spans="1:14">
      <c r="I63" s="37"/>
      <c r="L63" s="4"/>
      <c r="M63" s="363"/>
    </row>
    <row r="64" spans="1:14" ht="27.75" customHeight="1">
      <c r="A64" s="281" t="s">
        <v>191</v>
      </c>
      <c r="B64" s="281"/>
      <c r="C64" s="281"/>
      <c r="D64" s="281"/>
      <c r="E64" s="281"/>
      <c r="G64" s="150">
        <f>VLOOKUP($A$2,'LEA Post-65 (1)'!$B:$EC,3,FALSE)</f>
        <v>5</v>
      </c>
      <c r="I64" s="37"/>
      <c r="L64" s="4"/>
      <c r="M64" s="363" t="s">
        <v>499</v>
      </c>
    </row>
    <row r="65" spans="1:13">
      <c r="I65" s="37"/>
      <c r="L65" s="4"/>
      <c r="M65" s="363"/>
    </row>
    <row r="66" spans="1:13" ht="15" customHeight="1">
      <c r="A66" s="281" t="s">
        <v>38</v>
      </c>
      <c r="B66" s="281"/>
      <c r="C66" s="281"/>
      <c r="D66" s="281"/>
      <c r="E66" s="281"/>
      <c r="G66" s="14">
        <f>VLOOKUP($A$2,'LEA Post-65 (1)'!$B:$EC,4,FALSE)</f>
        <v>54</v>
      </c>
      <c r="I66" s="37"/>
      <c r="L66" s="4"/>
      <c r="M66" s="363" t="s">
        <v>499</v>
      </c>
    </row>
    <row r="67" spans="1:13" ht="15.75" thickBot="1">
      <c r="G67" s="15">
        <f>G62+G64+G66</f>
        <v>65</v>
      </c>
      <c r="I67" s="37"/>
      <c r="L67" s="4"/>
      <c r="M67" s="362"/>
    </row>
    <row r="68" spans="1:13" ht="15.75" thickTop="1">
      <c r="I68" s="37"/>
      <c r="L68" s="4"/>
      <c r="M68" s="362"/>
    </row>
    <row r="69" spans="1:13" ht="92.25" customHeight="1">
      <c r="A69" s="269" t="s">
        <v>142</v>
      </c>
      <c r="B69" s="269"/>
      <c r="C69" s="269"/>
      <c r="D69" s="269"/>
      <c r="E69" s="269"/>
      <c r="F69" s="269"/>
      <c r="G69" s="269"/>
      <c r="H69" s="269"/>
      <c r="I69" s="269"/>
      <c r="L69" s="4" t="s">
        <v>39</v>
      </c>
      <c r="M69" s="358" t="s">
        <v>500</v>
      </c>
    </row>
    <row r="70" spans="1:13" ht="15.75" thickBot="1">
      <c r="L70" s="4"/>
      <c r="M70" s="362"/>
    </row>
    <row r="71" spans="1:13" s="139" customFormat="1">
      <c r="A71" s="151" t="s">
        <v>435</v>
      </c>
      <c r="B71" s="152"/>
      <c r="C71" s="152"/>
      <c r="D71" s="152"/>
      <c r="E71" s="152"/>
      <c r="F71" s="152"/>
      <c r="G71" s="152"/>
      <c r="H71" s="152"/>
      <c r="I71" s="153"/>
      <c r="J71" s="137"/>
      <c r="K71" s="137"/>
      <c r="L71" s="138"/>
      <c r="M71" s="358"/>
    </row>
    <row r="72" spans="1:13" s="139" customFormat="1" ht="30">
      <c r="A72" s="154" t="s">
        <v>482</v>
      </c>
      <c r="B72" s="155"/>
      <c r="C72" s="155"/>
      <c r="D72" s="128">
        <f>VLOOKUP($A$2,'LEA Post-65 (2)'!$B:$EC,44,FALSE)/1000</f>
        <v>3.83</v>
      </c>
      <c r="E72" s="155"/>
      <c r="F72" s="155"/>
      <c r="G72" s="155"/>
      <c r="H72" s="155"/>
      <c r="I72" s="156"/>
      <c r="J72" s="137"/>
      <c r="K72" s="137"/>
      <c r="L72" s="138"/>
      <c r="M72" s="358" t="s">
        <v>534</v>
      </c>
    </row>
    <row r="73" spans="1:13" s="139" customFormat="1" ht="15.75" thickBot="1">
      <c r="A73" s="161"/>
      <c r="B73" s="157"/>
      <c r="C73" s="157"/>
      <c r="D73" s="157"/>
      <c r="E73" s="157"/>
      <c r="F73" s="157"/>
      <c r="G73" s="157"/>
      <c r="H73" s="157"/>
      <c r="I73" s="160"/>
      <c r="J73" s="137"/>
      <c r="K73" s="137"/>
      <c r="L73" s="138"/>
      <c r="M73" s="358"/>
    </row>
    <row r="74" spans="1:13" s="139" customFormat="1">
      <c r="A74" s="159"/>
      <c r="B74" s="140"/>
      <c r="C74" s="140"/>
      <c r="D74" s="140"/>
      <c r="E74" s="140"/>
      <c r="F74" s="140"/>
      <c r="G74" s="140"/>
      <c r="H74" s="140"/>
      <c r="I74" s="140"/>
      <c r="J74" s="137"/>
      <c r="K74" s="137"/>
      <c r="L74" s="138"/>
      <c r="M74" s="358"/>
    </row>
    <row r="75" spans="1:13">
      <c r="A75" s="11" t="s">
        <v>40</v>
      </c>
      <c r="L75" s="4"/>
      <c r="M75" s="362"/>
    </row>
    <row r="76" spans="1:13">
      <c r="L76" s="4"/>
      <c r="M76" s="362"/>
    </row>
    <row r="77" spans="1:13" ht="41.25" customHeight="1">
      <c r="A77" s="269" t="s">
        <v>192</v>
      </c>
      <c r="B77" s="269"/>
      <c r="C77" s="269"/>
      <c r="D77" s="269"/>
      <c r="E77" s="269"/>
      <c r="F77" s="269"/>
      <c r="G77" s="269"/>
      <c r="H77" s="269"/>
      <c r="I77" s="269"/>
      <c r="J77" s="37"/>
      <c r="L77" s="4" t="s">
        <v>41</v>
      </c>
      <c r="M77" s="358" t="s">
        <v>496</v>
      </c>
    </row>
    <row r="78" spans="1:13">
      <c r="A78" s="3"/>
      <c r="J78" s="37"/>
      <c r="L78" s="4"/>
      <c r="M78" s="362"/>
    </row>
    <row r="79" spans="1:13" ht="30">
      <c r="A79" s="3"/>
      <c r="B79" s="3" t="s">
        <v>42</v>
      </c>
      <c r="E79" s="278">
        <v>2.2499999999999999E-2</v>
      </c>
      <c r="F79" s="278"/>
      <c r="G79" s="278"/>
      <c r="H79" s="278"/>
      <c r="J79" s="37"/>
      <c r="L79" s="4"/>
      <c r="M79" s="361" t="s">
        <v>501</v>
      </c>
    </row>
    <row r="80" spans="1:13" ht="39.75" customHeight="1">
      <c r="A80" s="3"/>
      <c r="B80" s="12" t="s">
        <v>43</v>
      </c>
      <c r="E80" s="279" t="s">
        <v>44</v>
      </c>
      <c r="F80" s="279"/>
      <c r="G80" s="279"/>
      <c r="H80" s="279"/>
      <c r="J80" s="37"/>
      <c r="L80" s="4"/>
      <c r="M80" s="361" t="s">
        <v>499</v>
      </c>
    </row>
    <row r="81" spans="1:14" ht="93" customHeight="1">
      <c r="A81" s="3"/>
      <c r="B81" s="12" t="s">
        <v>45</v>
      </c>
      <c r="E81" s="280" t="s">
        <v>535</v>
      </c>
      <c r="F81" s="280"/>
      <c r="G81" s="280"/>
      <c r="H81" s="280"/>
      <c r="J81" s="37"/>
      <c r="L81" s="4"/>
      <c r="M81" s="361" t="s">
        <v>499</v>
      </c>
      <c r="N81" s="255" t="s">
        <v>486</v>
      </c>
    </row>
    <row r="82" spans="1:14">
      <c r="A82" s="3"/>
      <c r="J82" s="37"/>
      <c r="L82" s="4"/>
      <c r="M82" s="358"/>
    </row>
    <row r="83" spans="1:14">
      <c r="A83" s="3"/>
      <c r="J83" s="37"/>
      <c r="L83" s="4"/>
      <c r="M83" s="362"/>
    </row>
    <row r="84" spans="1:14" ht="148.5" customHeight="1">
      <c r="A84" s="269" t="s">
        <v>48</v>
      </c>
      <c r="B84" s="269"/>
      <c r="C84" s="269"/>
      <c r="D84" s="269"/>
      <c r="E84" s="269"/>
      <c r="F84" s="269"/>
      <c r="G84" s="269"/>
      <c r="H84" s="269"/>
      <c r="I84" s="269"/>
      <c r="J84" s="37"/>
      <c r="L84" s="4">
        <v>166</v>
      </c>
      <c r="M84" s="358" t="s">
        <v>502</v>
      </c>
    </row>
    <row r="85" spans="1:14">
      <c r="A85" s="3"/>
      <c r="J85" s="37"/>
      <c r="L85" s="4"/>
      <c r="M85" s="362"/>
    </row>
    <row r="86" spans="1:14" ht="58.5" customHeight="1">
      <c r="A86" s="269" t="s">
        <v>193</v>
      </c>
      <c r="B86" s="269"/>
      <c r="C86" s="269"/>
      <c r="D86" s="269"/>
      <c r="E86" s="269"/>
      <c r="F86" s="269"/>
      <c r="G86" s="269"/>
      <c r="H86" s="269"/>
      <c r="I86" s="269"/>
      <c r="J86" s="37"/>
      <c r="L86" s="4">
        <v>166</v>
      </c>
      <c r="M86" s="358" t="s">
        <v>501</v>
      </c>
    </row>
    <row r="87" spans="1:14">
      <c r="A87" s="3"/>
      <c r="J87" s="37"/>
      <c r="L87" s="4"/>
      <c r="M87" s="362"/>
    </row>
    <row r="88" spans="1:14">
      <c r="A88" s="11" t="s">
        <v>49</v>
      </c>
      <c r="J88" s="37"/>
      <c r="L88" s="4">
        <v>168</v>
      </c>
      <c r="M88" s="362"/>
    </row>
    <row r="89" spans="1:14">
      <c r="A89" s="3"/>
      <c r="J89" s="37"/>
      <c r="L89" s="4"/>
      <c r="M89" s="362"/>
    </row>
    <row r="90" spans="1:14">
      <c r="A90" s="266" t="s">
        <v>484</v>
      </c>
      <c r="B90" s="266"/>
      <c r="C90" s="266"/>
      <c r="F90" s="37"/>
      <c r="J90" s="37"/>
      <c r="L90" s="4"/>
      <c r="M90" s="362"/>
    </row>
    <row r="91" spans="1:14" ht="51.75">
      <c r="A91" s="3"/>
      <c r="F91" s="16" t="s">
        <v>50</v>
      </c>
      <c r="G91" s="13"/>
      <c r="H91" s="13"/>
      <c r="I91" s="13"/>
      <c r="J91" s="37"/>
      <c r="L91" s="4"/>
      <c r="M91" s="362"/>
    </row>
    <row r="92" spans="1:14" ht="30">
      <c r="A92" s="3" t="s">
        <v>51</v>
      </c>
      <c r="F92" s="17">
        <f>VLOOKUP($A$2,'LEA Post-65 (1)'!$B:$EC,6,FALSE)/1000</f>
        <v>283.13099999999997</v>
      </c>
      <c r="G92" s="18"/>
      <c r="H92" s="18"/>
      <c r="J92" s="37"/>
      <c r="L92" s="4" t="s">
        <v>52</v>
      </c>
      <c r="M92" s="361" t="s">
        <v>503</v>
      </c>
    </row>
    <row r="93" spans="1:14">
      <c r="A93" s="3" t="s">
        <v>53</v>
      </c>
      <c r="G93" s="37"/>
      <c r="H93" s="37"/>
      <c r="J93" s="37"/>
      <c r="L93" s="4"/>
      <c r="M93" s="361"/>
    </row>
    <row r="94" spans="1:14">
      <c r="A94" s="19" t="s">
        <v>54</v>
      </c>
      <c r="F94" s="20">
        <f>VLOOKUP($A$2,'LEA Post-65 (1)'!$B:$EC,14,FALSE)/1000</f>
        <v>8.718</v>
      </c>
      <c r="G94" s="21"/>
      <c r="H94" s="21"/>
      <c r="J94" s="37"/>
      <c r="L94" s="4" t="s">
        <v>55</v>
      </c>
      <c r="M94" s="361" t="s">
        <v>499</v>
      </c>
    </row>
    <row r="95" spans="1:14">
      <c r="A95" s="19" t="s">
        <v>56</v>
      </c>
      <c r="F95" s="20">
        <f>VLOOKUP($A$2,'LEA Post-65 (1)'!$B:$EC,15,FALSE)/1000</f>
        <v>8.4209999999999994</v>
      </c>
      <c r="G95" s="21"/>
      <c r="H95" s="21"/>
      <c r="J95" s="37"/>
      <c r="L95" s="4" t="s">
        <v>57</v>
      </c>
      <c r="M95" s="361" t="s">
        <v>499</v>
      </c>
    </row>
    <row r="96" spans="1:14">
      <c r="A96" s="19" t="s">
        <v>58</v>
      </c>
      <c r="F96" s="20">
        <f>VLOOKUP($A$2,'LEA Post-65 (1)'!$B:$EC,16,FALSE)/1000</f>
        <v>0</v>
      </c>
      <c r="G96" s="21"/>
      <c r="H96" s="21"/>
      <c r="J96" s="37"/>
      <c r="L96" s="4" t="s">
        <v>59</v>
      </c>
      <c r="M96" s="361" t="s">
        <v>499</v>
      </c>
    </row>
    <row r="97" spans="1:13">
      <c r="A97" s="19" t="s">
        <v>60</v>
      </c>
      <c r="F97" s="20">
        <f>VLOOKUP($A$2,'LEA Post-65 (1)'!$B:$EC,17,FALSE)/1000</f>
        <v>0</v>
      </c>
      <c r="G97" s="21"/>
      <c r="H97" s="21"/>
      <c r="J97" s="37"/>
      <c r="L97" s="4" t="s">
        <v>61</v>
      </c>
      <c r="M97" s="361" t="s">
        <v>499</v>
      </c>
    </row>
    <row r="98" spans="1:13">
      <c r="A98" s="19" t="s">
        <v>62</v>
      </c>
      <c r="F98" s="20">
        <f>VLOOKUP($A$2,'LEA Post-65 (1)'!$B:$EC,18,FALSE)/1000</f>
        <v>-29.725999999999999</v>
      </c>
      <c r="G98" s="21"/>
      <c r="H98" s="21"/>
      <c r="J98" s="37"/>
      <c r="L98" s="4" t="s">
        <v>63</v>
      </c>
      <c r="M98" s="361" t="s">
        <v>499</v>
      </c>
    </row>
    <row r="99" spans="1:13">
      <c r="A99" s="19" t="s">
        <v>64</v>
      </c>
      <c r="F99" s="20">
        <f>-VLOOKUP($A$2,'LEA Post-65 (1)'!$B:$EC,19,FALSE)/1000</f>
        <v>-6.9</v>
      </c>
      <c r="G99" s="21"/>
      <c r="H99" s="21"/>
      <c r="J99" s="37"/>
      <c r="L99" s="4" t="s">
        <v>65</v>
      </c>
      <c r="M99" s="361" t="s">
        <v>499</v>
      </c>
    </row>
    <row r="100" spans="1:13">
      <c r="A100" s="3"/>
      <c r="B100" s="3" t="s">
        <v>66</v>
      </c>
      <c r="F100" s="22">
        <f>SUM(F93:F99)</f>
        <v>-19.487000000000002</v>
      </c>
      <c r="G100" s="21"/>
      <c r="H100" s="21"/>
      <c r="J100" s="37"/>
      <c r="L100" s="4"/>
      <c r="M100" s="361"/>
    </row>
    <row r="101" spans="1:13" ht="15.75" thickBot="1">
      <c r="A101" s="3" t="s">
        <v>67</v>
      </c>
      <c r="F101" s="23">
        <f>F92+F100</f>
        <v>263.64399999999995</v>
      </c>
      <c r="G101" s="18"/>
      <c r="H101" s="18"/>
      <c r="J101" s="37"/>
      <c r="L101" s="4" t="s">
        <v>68</v>
      </c>
      <c r="M101" s="361" t="s">
        <v>499</v>
      </c>
    </row>
    <row r="102" spans="1:13" ht="15.75" thickTop="1">
      <c r="A102" s="3"/>
      <c r="G102" s="37"/>
      <c r="H102" s="37"/>
      <c r="J102" s="37"/>
      <c r="L102" s="4"/>
      <c r="M102" s="362"/>
    </row>
    <row r="103" spans="1:13" ht="27.75" customHeight="1">
      <c r="A103" s="269" t="s">
        <v>69</v>
      </c>
      <c r="B103" s="269"/>
      <c r="C103" s="269"/>
      <c r="D103" s="269"/>
      <c r="E103" s="269"/>
      <c r="F103" s="24">
        <f>VLOOKUP($A$2,'LEA Post-65 (2)'!$B:$EC,7,FALSE)/1000</f>
        <v>117.56100000000001</v>
      </c>
      <c r="G103" s="37"/>
      <c r="H103" s="37"/>
      <c r="J103" s="37"/>
      <c r="L103" s="4" t="s">
        <v>70</v>
      </c>
      <c r="M103" s="358" t="s">
        <v>526</v>
      </c>
    </row>
    <row r="104" spans="1:13">
      <c r="A104" s="3"/>
      <c r="G104" s="37"/>
      <c r="H104" s="37"/>
      <c r="J104" s="37"/>
      <c r="L104" s="4"/>
      <c r="M104" s="362"/>
    </row>
    <row r="105" spans="1:13" ht="30.75" customHeight="1">
      <c r="A105" s="269" t="s">
        <v>71</v>
      </c>
      <c r="B105" s="269"/>
      <c r="C105" s="269"/>
      <c r="D105" s="269"/>
      <c r="E105" s="269"/>
      <c r="F105" s="24">
        <f>VLOOKUP($A$2,'LEA Post-65 (2)'!$B:$EC,8,FALSE)/1000</f>
        <v>146.083</v>
      </c>
      <c r="G105" s="37"/>
      <c r="H105" s="37"/>
      <c r="J105" s="37"/>
      <c r="L105" s="4" t="s">
        <v>72</v>
      </c>
      <c r="M105" s="361" t="s">
        <v>503</v>
      </c>
    </row>
    <row r="106" spans="1:13">
      <c r="A106" s="3"/>
      <c r="G106" s="37"/>
      <c r="H106" s="37"/>
      <c r="J106" s="37"/>
      <c r="L106" s="4"/>
      <c r="M106" s="362"/>
    </row>
    <row r="107" spans="1:13">
      <c r="A107" s="269" t="s">
        <v>73</v>
      </c>
      <c r="B107" s="269"/>
      <c r="C107" s="269"/>
      <c r="D107" s="269"/>
      <c r="E107" s="269"/>
      <c r="F107" s="171">
        <f>VLOOKUP($A$2,'LEA Post-65 (2)'!$B:$EC,5,FALSE)</f>
        <v>0.55409200000000003</v>
      </c>
      <c r="G107" s="37"/>
      <c r="H107" s="37"/>
      <c r="J107" s="37"/>
      <c r="L107" s="4" t="s">
        <v>74</v>
      </c>
      <c r="M107" s="361" t="s">
        <v>499</v>
      </c>
    </row>
    <row r="108" spans="1:13">
      <c r="A108" s="3"/>
      <c r="G108" s="37"/>
      <c r="H108" s="37"/>
      <c r="J108" s="37"/>
      <c r="L108" s="4"/>
      <c r="M108" s="362"/>
    </row>
    <row r="109" spans="1:13" ht="92.25" customHeight="1">
      <c r="A109" s="269" t="s">
        <v>145</v>
      </c>
      <c r="B109" s="269"/>
      <c r="C109" s="269"/>
      <c r="D109" s="269"/>
      <c r="E109" s="269"/>
      <c r="F109" s="269"/>
      <c r="G109" s="269"/>
      <c r="H109" s="269"/>
      <c r="I109" s="269"/>
      <c r="J109" s="37"/>
      <c r="L109" s="4" t="s">
        <v>75</v>
      </c>
      <c r="M109" s="358" t="s">
        <v>496</v>
      </c>
    </row>
    <row r="110" spans="1:13" ht="15.75" thickBot="1">
      <c r="A110" s="3"/>
      <c r="G110" s="37"/>
      <c r="H110" s="37"/>
      <c r="J110" s="37"/>
      <c r="L110" s="4"/>
      <c r="M110" s="362"/>
    </row>
    <row r="111" spans="1:13" s="139" customFormat="1">
      <c r="A111" s="151" t="s">
        <v>435</v>
      </c>
      <c r="B111" s="152"/>
      <c r="C111" s="152"/>
      <c r="D111" s="152"/>
      <c r="E111" s="152"/>
      <c r="F111" s="152"/>
      <c r="G111" s="152"/>
      <c r="H111" s="152"/>
      <c r="I111" s="153"/>
      <c r="J111" s="137"/>
      <c r="K111" s="137"/>
      <c r="L111" s="138"/>
      <c r="M111" s="358"/>
    </row>
    <row r="112" spans="1:13" s="139" customFormat="1">
      <c r="A112" s="154" t="s">
        <v>436</v>
      </c>
      <c r="B112" s="155"/>
      <c r="C112" s="155"/>
      <c r="D112" s="158">
        <f>VLOOKUP($A$2,'LEA Post-65 (2)'!$B:$EC,5,FALSE)-VLOOKUP($A$2,'LEA Post-65 (2)'!$B:$EC,5,FALSE)</f>
        <v>0</v>
      </c>
      <c r="E112" s="155"/>
      <c r="F112" s="155"/>
      <c r="G112" s="155"/>
      <c r="H112" s="155"/>
      <c r="I112" s="156"/>
      <c r="J112" s="137"/>
      <c r="K112" s="137"/>
      <c r="L112" s="138"/>
      <c r="M112" s="358"/>
    </row>
    <row r="113" spans="1:14" s="139" customFormat="1">
      <c r="A113" s="154" t="s">
        <v>437</v>
      </c>
      <c r="B113" s="155"/>
      <c r="C113" s="155"/>
      <c r="D113" s="128">
        <f>VLOOKUP($A$2,'LEA Post-65 (2)'!$B:$EC,10,FALSE)/1000</f>
        <v>6.3559999999999999</v>
      </c>
      <c r="E113" s="155"/>
      <c r="F113" s="155"/>
      <c r="G113" s="155"/>
      <c r="H113" s="155"/>
      <c r="I113" s="156"/>
      <c r="J113" s="137"/>
      <c r="K113" s="137"/>
      <c r="L113" s="138"/>
      <c r="M113" s="358" t="s">
        <v>525</v>
      </c>
    </row>
    <row r="114" spans="1:14" s="139" customFormat="1">
      <c r="A114" s="154"/>
      <c r="B114" s="155"/>
      <c r="C114" s="155"/>
      <c r="D114" s="158"/>
      <c r="E114" s="155"/>
      <c r="F114" s="155"/>
      <c r="G114" s="155"/>
      <c r="H114" s="155"/>
      <c r="I114" s="156"/>
      <c r="J114" s="137"/>
      <c r="K114" s="137"/>
      <c r="L114" s="138"/>
      <c r="M114" s="358"/>
    </row>
    <row r="115" spans="1:14" s="139" customFormat="1" ht="15.75" thickBot="1">
      <c r="A115" s="161"/>
      <c r="B115" s="157"/>
      <c r="C115" s="157"/>
      <c r="D115" s="157"/>
      <c r="E115" s="157"/>
      <c r="F115" s="157"/>
      <c r="G115" s="157"/>
      <c r="H115" s="157"/>
      <c r="I115" s="160"/>
      <c r="J115" s="137"/>
      <c r="K115" s="137"/>
      <c r="L115" s="138"/>
      <c r="M115" s="358"/>
    </row>
    <row r="116" spans="1:14" s="139" customFormat="1">
      <c r="A116" s="159"/>
      <c r="B116" s="140"/>
      <c r="C116" s="140"/>
      <c r="D116" s="140"/>
      <c r="E116" s="140"/>
      <c r="F116" s="140"/>
      <c r="G116" s="140"/>
      <c r="H116" s="140"/>
      <c r="I116" s="140"/>
      <c r="J116" s="137"/>
      <c r="K116" s="137"/>
      <c r="L116" s="138"/>
      <c r="M116" s="358"/>
    </row>
    <row r="117" spans="1:14" ht="27" customHeight="1">
      <c r="A117" s="269" t="s">
        <v>194</v>
      </c>
      <c r="B117" s="269"/>
      <c r="C117" s="269"/>
      <c r="D117" s="269"/>
      <c r="E117" s="269"/>
      <c r="F117" s="269"/>
      <c r="G117" s="269"/>
      <c r="H117" s="269"/>
      <c r="I117" s="269"/>
      <c r="J117" s="37"/>
      <c r="L117" s="4" t="s">
        <v>76</v>
      </c>
      <c r="M117" s="358" t="s">
        <v>501</v>
      </c>
    </row>
    <row r="118" spans="1:14">
      <c r="A118" s="3"/>
      <c r="J118" s="37"/>
      <c r="L118" s="4"/>
      <c r="M118" s="362"/>
    </row>
    <row r="119" spans="1:14" ht="30.75" hidden="1" customHeight="1">
      <c r="A119" s="269" t="s">
        <v>195</v>
      </c>
      <c r="B119" s="269"/>
      <c r="C119" s="269"/>
      <c r="D119" s="269"/>
      <c r="E119" s="269"/>
      <c r="F119" s="269"/>
      <c r="G119" s="269"/>
      <c r="H119" s="269"/>
      <c r="I119" s="269"/>
      <c r="J119" s="37"/>
      <c r="L119" s="4" t="s">
        <v>77</v>
      </c>
      <c r="M119" s="362"/>
      <c r="N119" s="44" t="s">
        <v>78</v>
      </c>
    </row>
    <row r="120" spans="1:14" hidden="1">
      <c r="A120" s="3"/>
      <c r="J120" s="37"/>
      <c r="L120" s="4"/>
      <c r="M120" s="362"/>
    </row>
    <row r="121" spans="1:14" ht="31.5" hidden="1" customHeight="1">
      <c r="A121" s="269" t="s">
        <v>196</v>
      </c>
      <c r="B121" s="269"/>
      <c r="C121" s="269"/>
      <c r="D121" s="269"/>
      <c r="E121" s="269"/>
      <c r="F121" s="269"/>
      <c r="G121" s="269"/>
      <c r="H121" s="269"/>
      <c r="I121" s="269"/>
      <c r="J121" s="37"/>
      <c r="L121" s="4" t="s">
        <v>79</v>
      </c>
      <c r="M121" s="362"/>
      <c r="N121" s="44" t="s">
        <v>78</v>
      </c>
    </row>
    <row r="122" spans="1:14" hidden="1">
      <c r="A122" s="3"/>
      <c r="J122" s="37"/>
      <c r="L122" s="4"/>
      <c r="M122" s="362"/>
    </row>
    <row r="123" spans="1:14" ht="54.75" hidden="1" customHeight="1">
      <c r="A123" s="269" t="s">
        <v>202</v>
      </c>
      <c r="B123" s="269"/>
      <c r="C123" s="269"/>
      <c r="D123" s="269"/>
      <c r="E123" s="269"/>
      <c r="F123" s="269"/>
      <c r="G123" s="269"/>
      <c r="H123" s="269"/>
      <c r="I123" s="269"/>
      <c r="J123" s="37"/>
      <c r="L123" s="4" t="s">
        <v>80</v>
      </c>
      <c r="M123" s="362"/>
      <c r="N123" s="44" t="s">
        <v>78</v>
      </c>
    </row>
    <row r="124" spans="1:14" hidden="1">
      <c r="A124" s="3"/>
      <c r="J124" s="37"/>
      <c r="L124" s="4"/>
      <c r="M124" s="362"/>
    </row>
    <row r="125" spans="1:14" ht="71.25" customHeight="1">
      <c r="A125" s="269" t="s">
        <v>485</v>
      </c>
      <c r="B125" s="269"/>
      <c r="C125" s="269"/>
      <c r="D125" s="269"/>
      <c r="E125" s="269"/>
      <c r="F125" s="269"/>
      <c r="G125" s="269"/>
      <c r="H125" s="269"/>
      <c r="I125" s="268"/>
      <c r="J125" s="37"/>
      <c r="L125" s="4" t="s">
        <v>81</v>
      </c>
      <c r="M125" s="358" t="s">
        <v>496</v>
      </c>
    </row>
    <row r="126" spans="1:14">
      <c r="A126" s="3"/>
      <c r="J126" s="37"/>
      <c r="L126" s="4"/>
      <c r="M126" s="362"/>
    </row>
    <row r="127" spans="1:14" ht="26.25" customHeight="1">
      <c r="A127" s="3"/>
      <c r="D127" s="270" t="s">
        <v>82</v>
      </c>
      <c r="E127" s="271"/>
      <c r="F127" s="270" t="s">
        <v>83</v>
      </c>
      <c r="G127" s="271"/>
      <c r="H127" s="270" t="s">
        <v>84</v>
      </c>
      <c r="I127" s="271"/>
      <c r="J127" s="37"/>
      <c r="L127" s="4"/>
      <c r="M127" s="358" t="s">
        <v>504</v>
      </c>
    </row>
    <row r="128" spans="1:14" ht="27" customHeight="1">
      <c r="A128" s="269" t="s">
        <v>85</v>
      </c>
      <c r="B128" s="269"/>
      <c r="C128" s="269"/>
      <c r="D128" s="26" t="s">
        <v>86</v>
      </c>
      <c r="E128" s="170">
        <f>VLOOKUP($A$2,'LEA Post-65 (2)'!$B:$EC,53,FALSE)/1000</f>
        <v>172.97422419200004</v>
      </c>
      <c r="F128" s="26" t="s">
        <v>86</v>
      </c>
      <c r="G128" s="20">
        <f>VLOOKUP($A$2,'LEA Post-65 (2)'!$B:$EC,8,FALSE)/1000</f>
        <v>146.083</v>
      </c>
      <c r="H128" s="26" t="s">
        <v>86</v>
      </c>
      <c r="I128" s="20">
        <f>VLOOKUP($A$2,'LEA Post-65 (2)'!$B:$EC,54,FALSE)/1000</f>
        <v>124.40639811600001</v>
      </c>
      <c r="J128" s="37"/>
      <c r="L128" s="4"/>
      <c r="M128" s="358"/>
    </row>
    <row r="129" spans="1:14">
      <c r="A129" s="3"/>
      <c r="E129" s="20"/>
      <c r="G129" s="20"/>
      <c r="I129" s="20"/>
      <c r="J129" s="37"/>
      <c r="L129" s="4"/>
    </row>
    <row r="130" spans="1:14" ht="77.25" customHeight="1">
      <c r="A130" s="269" t="s">
        <v>540</v>
      </c>
      <c r="B130" s="269"/>
      <c r="C130" s="269"/>
      <c r="D130" s="269"/>
      <c r="E130" s="269"/>
      <c r="F130" s="269"/>
      <c r="G130" s="269"/>
      <c r="H130" s="269"/>
      <c r="I130" s="268"/>
      <c r="J130" s="37"/>
      <c r="L130" s="4" t="s">
        <v>87</v>
      </c>
      <c r="M130" s="358" t="s">
        <v>496</v>
      </c>
      <c r="N130" s="255" t="s">
        <v>487</v>
      </c>
    </row>
    <row r="131" spans="1:14">
      <c r="A131" s="3"/>
      <c r="J131" s="37"/>
      <c r="L131" s="4"/>
      <c r="M131" s="362"/>
    </row>
    <row r="132" spans="1:14" ht="56.25" customHeight="1">
      <c r="A132" s="3"/>
      <c r="D132" s="270" t="s">
        <v>536</v>
      </c>
      <c r="E132" s="271"/>
      <c r="F132" s="270" t="s">
        <v>537</v>
      </c>
      <c r="G132" s="271"/>
      <c r="H132" s="270" t="s">
        <v>538</v>
      </c>
      <c r="I132" s="271"/>
      <c r="J132" s="37"/>
      <c r="L132" s="4"/>
      <c r="M132" s="358" t="s">
        <v>504</v>
      </c>
      <c r="N132" s="255" t="s">
        <v>487</v>
      </c>
    </row>
    <row r="133" spans="1:14" ht="27" customHeight="1">
      <c r="A133" s="269" t="s">
        <v>85</v>
      </c>
      <c r="B133" s="269"/>
      <c r="C133" s="269"/>
      <c r="D133" s="26" t="s">
        <v>86</v>
      </c>
      <c r="E133" s="20">
        <f>VLOOKUP($A$2,'LEA Post-65 (2)'!$B:$EC,55,FALSE)/1000</f>
        <v>146.08303124800003</v>
      </c>
      <c r="F133" s="26" t="s">
        <v>86</v>
      </c>
      <c r="G133" s="20">
        <f>VLOOKUP($A$2,'LEA Post-65 (2)'!$B:$EC,8,FALSE)/1000</f>
        <v>146.083</v>
      </c>
      <c r="H133" s="26" t="s">
        <v>86</v>
      </c>
      <c r="I133" s="20">
        <f>VLOOKUP($A$2,'LEA Post-65 (2)'!$B:$EC,56,FALSE)/1000</f>
        <v>146.08303124800003</v>
      </c>
      <c r="J133" s="37"/>
      <c r="L133" s="4"/>
      <c r="M133" s="358"/>
    </row>
    <row r="134" spans="1:14">
      <c r="A134" s="3"/>
      <c r="J134" s="37"/>
      <c r="L134" s="4"/>
    </row>
    <row r="135" spans="1:14">
      <c r="A135" s="11" t="s">
        <v>88</v>
      </c>
      <c r="J135" s="37"/>
      <c r="L135" s="4"/>
      <c r="M135" s="362"/>
    </row>
    <row r="136" spans="1:14">
      <c r="A136" s="3"/>
      <c r="J136" s="37"/>
      <c r="L136" s="4"/>
      <c r="M136" s="362"/>
    </row>
    <row r="137" spans="1:14" ht="35.25" customHeight="1">
      <c r="A137" s="269" t="s">
        <v>203</v>
      </c>
      <c r="B137" s="269"/>
      <c r="C137" s="269"/>
      <c r="D137" s="269"/>
      <c r="E137" s="269"/>
      <c r="F137" s="269"/>
      <c r="G137" s="269"/>
      <c r="H137" s="269"/>
      <c r="I137" s="269"/>
      <c r="J137" s="37"/>
      <c r="L137" s="4" t="s">
        <v>89</v>
      </c>
      <c r="M137" s="358" t="s">
        <v>496</v>
      </c>
    </row>
    <row r="138" spans="1:14" ht="15.75" thickBot="1">
      <c r="A138" s="3"/>
      <c r="J138" s="37"/>
      <c r="L138" s="4"/>
      <c r="M138" s="362"/>
    </row>
    <row r="139" spans="1:14" s="139" customFormat="1">
      <c r="A139" s="151" t="s">
        <v>435</v>
      </c>
      <c r="B139" s="152"/>
      <c r="C139" s="152"/>
      <c r="D139" s="152"/>
      <c r="E139" s="152"/>
      <c r="F139" s="152"/>
      <c r="G139" s="152"/>
      <c r="H139" s="152"/>
      <c r="I139" s="153"/>
      <c r="J139" s="137"/>
      <c r="K139" s="137"/>
      <c r="L139" s="138"/>
      <c r="M139" s="358"/>
    </row>
    <row r="140" spans="1:14" s="139" customFormat="1">
      <c r="A140" s="154" t="s">
        <v>168</v>
      </c>
      <c r="B140" s="155"/>
      <c r="C140" s="155"/>
      <c r="D140" s="128">
        <f>VLOOKUP($A$2,'LEA Post-65 (2)'!$B:$EC,9,FALSE)/1000</f>
        <v>14.253</v>
      </c>
      <c r="E140" s="155"/>
      <c r="F140" s="155"/>
      <c r="G140" s="155"/>
      <c r="H140" s="155"/>
      <c r="I140" s="156"/>
      <c r="J140" s="137"/>
      <c r="K140" s="137"/>
      <c r="L140" s="138"/>
      <c r="M140" s="358" t="s">
        <v>505</v>
      </c>
    </row>
    <row r="141" spans="1:14" s="139" customFormat="1">
      <c r="A141" s="154"/>
      <c r="B141" s="155"/>
      <c r="C141" s="155"/>
      <c r="D141" s="158"/>
      <c r="E141" s="155"/>
      <c r="F141" s="155"/>
      <c r="G141" s="155"/>
      <c r="H141" s="155"/>
      <c r="I141" s="156"/>
      <c r="J141" s="137"/>
      <c r="K141" s="137"/>
      <c r="L141" s="138"/>
      <c r="M141" s="358"/>
    </row>
    <row r="142" spans="1:14" s="139" customFormat="1" ht="15.75" thickBot="1">
      <c r="A142" s="161"/>
      <c r="B142" s="157"/>
      <c r="C142" s="157"/>
      <c r="D142" s="157"/>
      <c r="E142" s="157"/>
      <c r="F142" s="157"/>
      <c r="G142" s="157"/>
      <c r="H142" s="157"/>
      <c r="I142" s="160"/>
      <c r="J142" s="137"/>
      <c r="K142" s="137"/>
      <c r="L142" s="138"/>
      <c r="M142" s="358"/>
    </row>
    <row r="143" spans="1:14" s="139" customFormat="1">
      <c r="A143" s="159"/>
      <c r="B143" s="140"/>
      <c r="C143" s="140"/>
      <c r="D143" s="140"/>
      <c r="E143" s="140"/>
      <c r="F143" s="140"/>
      <c r="G143" s="140"/>
      <c r="H143" s="140"/>
      <c r="I143" s="140"/>
      <c r="J143" s="137"/>
      <c r="K143" s="137"/>
      <c r="L143" s="138"/>
      <c r="M143" s="358"/>
    </row>
    <row r="144" spans="1:14" ht="39" customHeight="1">
      <c r="A144" s="269" t="s">
        <v>204</v>
      </c>
      <c r="B144" s="269"/>
      <c r="C144" s="269"/>
      <c r="D144" s="269"/>
      <c r="E144" s="269"/>
      <c r="F144" s="269"/>
      <c r="G144" s="269"/>
      <c r="H144" s="269"/>
      <c r="I144" s="269"/>
      <c r="J144" s="37"/>
      <c r="L144" s="4" t="s">
        <v>90</v>
      </c>
      <c r="M144" s="358" t="s">
        <v>496</v>
      </c>
    </row>
    <row r="145" spans="1:14">
      <c r="A145" s="36"/>
      <c r="B145" s="36"/>
      <c r="C145" s="36"/>
      <c r="D145" s="36"/>
      <c r="E145" s="36"/>
      <c r="F145" s="36"/>
      <c r="G145" s="36"/>
      <c r="H145" s="36"/>
      <c r="I145" s="36"/>
      <c r="J145" s="37"/>
      <c r="L145" s="4"/>
      <c r="M145" s="362"/>
    </row>
    <row r="146" spans="1:14">
      <c r="A146" s="267" t="s">
        <v>144</v>
      </c>
      <c r="B146" s="267"/>
      <c r="C146" s="36"/>
      <c r="D146" s="36"/>
      <c r="E146" s="36"/>
      <c r="F146" s="36"/>
      <c r="G146" s="36"/>
      <c r="H146" s="36"/>
      <c r="I146" s="36"/>
      <c r="J146" s="37"/>
      <c r="L146" s="4"/>
      <c r="M146" s="362"/>
    </row>
    <row r="147" spans="1:14" ht="51.75">
      <c r="A147" s="36"/>
      <c r="B147" s="36"/>
      <c r="C147" s="36"/>
      <c r="D147" s="36"/>
      <c r="E147" s="36"/>
      <c r="F147" s="36"/>
      <c r="G147" s="16" t="s">
        <v>91</v>
      </c>
      <c r="H147" s="36"/>
      <c r="I147" s="16" t="s">
        <v>92</v>
      </c>
      <c r="J147" s="37"/>
      <c r="L147" s="4"/>
      <c r="M147" s="362"/>
    </row>
    <row r="148" spans="1:14" ht="60">
      <c r="A148" s="27" t="s">
        <v>93</v>
      </c>
      <c r="B148" s="36"/>
      <c r="C148" s="36"/>
      <c r="D148" s="36"/>
      <c r="E148" s="36"/>
      <c r="F148" s="36"/>
      <c r="G148" s="28">
        <f>VLOOKUP($A$2,'LEA Post-65 (2)'!$B:$EC,14,FALSE)/1000</f>
        <v>0</v>
      </c>
      <c r="H148" s="28"/>
      <c r="I148" s="28">
        <f>VLOOKUP($A$2,'LEA Post-65 (2)'!$B:$EC,17,FALSE)/1000</f>
        <v>0</v>
      </c>
      <c r="J148" s="37"/>
      <c r="L148" s="4" t="s">
        <v>94</v>
      </c>
      <c r="M148" s="361" t="s">
        <v>531</v>
      </c>
    </row>
    <row r="149" spans="1:14">
      <c r="A149" s="27" t="s">
        <v>95</v>
      </c>
      <c r="B149" s="36"/>
      <c r="C149" s="36"/>
      <c r="D149" s="36"/>
      <c r="E149" s="36"/>
      <c r="F149" s="36"/>
      <c r="G149" s="29">
        <f>VLOOKUP($A$2,'LEA Post-65 (2)'!$B:$EC,20,FALSE)/1000</f>
        <v>0</v>
      </c>
      <c r="H149" s="29"/>
      <c r="I149" s="29">
        <f>VLOOKUP($A$2,'LEA Post-65 (2)'!$B:$EC,23,FALSE)/1000</f>
        <v>14.872</v>
      </c>
      <c r="J149" s="37"/>
      <c r="L149" s="4" t="s">
        <v>96</v>
      </c>
      <c r="M149" s="361" t="s">
        <v>499</v>
      </c>
    </row>
    <row r="150" spans="1:14" s="1" customFormat="1" ht="51.75" customHeight="1">
      <c r="A150" s="275" t="s">
        <v>97</v>
      </c>
      <c r="B150" s="275"/>
      <c r="C150" s="275"/>
      <c r="D150" s="275"/>
      <c r="E150" s="275"/>
      <c r="F150" s="36"/>
      <c r="G150" s="29">
        <v>0</v>
      </c>
      <c r="H150" s="29"/>
      <c r="I150" s="29">
        <v>0</v>
      </c>
      <c r="J150" s="37"/>
      <c r="K150" s="3"/>
      <c r="L150" s="4" t="s">
        <v>98</v>
      </c>
      <c r="M150" s="361" t="s">
        <v>499</v>
      </c>
      <c r="N150" s="3"/>
    </row>
    <row r="151" spans="1:14" ht="15.75" customHeight="1">
      <c r="A151" s="27" t="s">
        <v>99</v>
      </c>
      <c r="B151" s="36"/>
      <c r="C151" s="36"/>
      <c r="D151" s="36"/>
      <c r="E151" s="36"/>
      <c r="F151" s="36"/>
      <c r="G151" s="30">
        <f>VLOOKUP($A$2,'LEA Post-65 (2)'!$B:$EC,44,FALSE)/1000</f>
        <v>3.83</v>
      </c>
      <c r="H151" s="29"/>
      <c r="I151" s="30">
        <v>0</v>
      </c>
      <c r="J151" s="37"/>
      <c r="L151" s="4" t="s">
        <v>100</v>
      </c>
      <c r="M151" s="358" t="s">
        <v>532</v>
      </c>
    </row>
    <row r="152" spans="1:14" ht="15.75" thickBot="1">
      <c r="A152" s="36"/>
      <c r="B152" s="36" t="s">
        <v>101</v>
      </c>
      <c r="C152" s="36"/>
      <c r="D152" s="36"/>
      <c r="E152" s="36"/>
      <c r="F152" s="36"/>
      <c r="G152" s="31">
        <f>SUM(G148:G151)</f>
        <v>3.83</v>
      </c>
      <c r="H152" s="32"/>
      <c r="I152" s="31">
        <f>SUM(I148:I151)</f>
        <v>14.872</v>
      </c>
      <c r="J152" s="37"/>
      <c r="L152" s="4"/>
      <c r="M152" s="362"/>
    </row>
    <row r="153" spans="1:14" ht="15.75" thickTop="1">
      <c r="A153" s="36"/>
      <c r="B153" s="36"/>
      <c r="C153" s="36"/>
      <c r="D153" s="36"/>
      <c r="E153" s="36"/>
      <c r="F153" s="36"/>
      <c r="G153" s="36"/>
      <c r="H153" s="36"/>
      <c r="I153" s="36"/>
      <c r="J153" s="37"/>
      <c r="L153" s="4"/>
      <c r="M153" s="362"/>
    </row>
    <row r="154" spans="1:14" ht="29.25" customHeight="1">
      <c r="A154" s="269" t="s">
        <v>102</v>
      </c>
      <c r="B154" s="269"/>
      <c r="C154" s="269"/>
      <c r="D154" s="269"/>
      <c r="E154" s="269"/>
      <c r="F154" s="269"/>
      <c r="G154" s="269"/>
      <c r="H154" s="269"/>
      <c r="I154" s="269"/>
      <c r="J154" s="37"/>
      <c r="L154" s="4" t="s">
        <v>103</v>
      </c>
      <c r="M154" s="358" t="s">
        <v>496</v>
      </c>
    </row>
    <row r="155" spans="1:14">
      <c r="A155" s="36"/>
      <c r="B155" s="36"/>
      <c r="C155" s="36"/>
      <c r="D155" s="36"/>
      <c r="E155" s="36"/>
      <c r="F155" s="36"/>
      <c r="G155" s="36"/>
      <c r="H155" s="36"/>
      <c r="I155" s="36"/>
      <c r="J155" s="37"/>
      <c r="L155" s="4"/>
      <c r="M155" s="362"/>
    </row>
    <row r="156" spans="1:14" ht="26.25" customHeight="1">
      <c r="A156" s="269" t="s">
        <v>104</v>
      </c>
      <c r="B156" s="269"/>
      <c r="C156" s="269"/>
      <c r="D156" s="269"/>
      <c r="E156" s="269"/>
      <c r="F156" s="269"/>
      <c r="G156" s="269"/>
      <c r="H156" s="269"/>
      <c r="I156" s="269"/>
      <c r="J156" s="37"/>
      <c r="L156" s="4" t="s">
        <v>105</v>
      </c>
      <c r="M156" s="358" t="s">
        <v>496</v>
      </c>
    </row>
    <row r="157" spans="1:14">
      <c r="A157" s="36"/>
      <c r="B157" s="36"/>
      <c r="C157" s="36"/>
      <c r="D157" s="36"/>
      <c r="E157" s="36"/>
      <c r="F157" s="36"/>
      <c r="G157" s="36"/>
      <c r="H157" s="36"/>
      <c r="I157" s="36"/>
      <c r="J157" s="37"/>
      <c r="L157" s="4"/>
      <c r="M157" s="362"/>
    </row>
    <row r="158" spans="1:14" ht="45">
      <c r="A158" s="268" t="s">
        <v>484</v>
      </c>
      <c r="B158" s="268"/>
      <c r="C158" s="268"/>
      <c r="D158" s="36"/>
      <c r="E158" s="36"/>
      <c r="F158" s="36"/>
      <c r="G158" s="36"/>
      <c r="H158" s="36"/>
      <c r="I158" s="36"/>
      <c r="J158" s="37"/>
      <c r="L158" s="4"/>
      <c r="M158" s="361" t="s">
        <v>533</v>
      </c>
    </row>
    <row r="159" spans="1:14">
      <c r="A159" s="36"/>
      <c r="B159" s="36"/>
      <c r="C159" s="36"/>
      <c r="D159" s="36"/>
      <c r="E159" s="36"/>
      <c r="F159" s="36"/>
      <c r="G159" s="36"/>
      <c r="H159" s="36"/>
      <c r="I159" s="36"/>
      <c r="J159" s="37"/>
      <c r="L159" s="4"/>
      <c r="M159" s="361"/>
    </row>
    <row r="160" spans="1:14">
      <c r="A160" s="33" t="s">
        <v>106</v>
      </c>
      <c r="B160" s="36"/>
      <c r="C160" s="36"/>
      <c r="D160" s="36"/>
      <c r="E160" s="36"/>
      <c r="F160" s="36"/>
      <c r="G160" s="36"/>
      <c r="H160" s="36"/>
      <c r="I160" s="36"/>
      <c r="J160" s="37"/>
      <c r="L160" s="4"/>
      <c r="M160" s="361"/>
    </row>
    <row r="161" spans="1:13">
      <c r="A161" s="33"/>
      <c r="B161" s="36">
        <v>2019</v>
      </c>
      <c r="C161" s="36"/>
      <c r="D161" s="36"/>
      <c r="E161" s="36"/>
      <c r="F161" s="127">
        <f>VLOOKUP($A$2,'LEA Post-65 (2)'!$B:$EC,36,FALSE)/1000</f>
        <v>-1.5991095120000001</v>
      </c>
      <c r="G161" s="36"/>
      <c r="H161" s="36"/>
      <c r="I161" s="36"/>
      <c r="J161" s="37"/>
      <c r="L161" s="4"/>
      <c r="M161" s="361" t="s">
        <v>499</v>
      </c>
    </row>
    <row r="162" spans="1:13">
      <c r="A162" s="33"/>
      <c r="B162" s="36">
        <v>2020</v>
      </c>
      <c r="C162" s="36"/>
      <c r="D162" s="36"/>
      <c r="E162" s="36"/>
      <c r="F162" s="256">
        <f>VLOOKUP($A$2,'LEA Post-65 (2)'!$B:$EC,37,FALSE)/1000</f>
        <v>-1.5991095120000001</v>
      </c>
      <c r="G162" s="36"/>
      <c r="H162" s="36"/>
      <c r="I162" s="36"/>
      <c r="J162" s="37"/>
      <c r="L162" s="4"/>
      <c r="M162" s="361" t="s">
        <v>499</v>
      </c>
    </row>
    <row r="163" spans="1:13">
      <c r="A163" s="33"/>
      <c r="B163" s="36">
        <v>2021</v>
      </c>
      <c r="C163" s="36"/>
      <c r="D163" s="36"/>
      <c r="E163" s="36"/>
      <c r="F163" s="256">
        <f>VLOOKUP($A$2,'LEA Post-65 (2)'!$B:$EC,38,FALSE)/1000</f>
        <v>-1.5991095120000001</v>
      </c>
      <c r="G163" s="36"/>
      <c r="H163" s="36"/>
      <c r="I163" s="36"/>
      <c r="J163" s="37"/>
      <c r="L163" s="4"/>
      <c r="M163" s="361" t="s">
        <v>499</v>
      </c>
    </row>
    <row r="164" spans="1:13">
      <c r="A164" s="33"/>
      <c r="B164" s="36">
        <v>2022</v>
      </c>
      <c r="C164" s="36"/>
      <c r="D164" s="36"/>
      <c r="E164" s="36"/>
      <c r="F164" s="256">
        <f>VLOOKUP($A$2,'LEA Post-65 (2)'!$B:$EC,39,FALSE)/1000</f>
        <v>-1.5991095120000001</v>
      </c>
      <c r="G164" s="36"/>
      <c r="H164" s="36"/>
      <c r="I164" s="36"/>
      <c r="J164" s="37"/>
      <c r="L164" s="4"/>
      <c r="M164" s="361" t="s">
        <v>499</v>
      </c>
    </row>
    <row r="165" spans="1:13">
      <c r="A165" s="33"/>
      <c r="B165" s="36">
        <v>2023</v>
      </c>
      <c r="C165" s="36"/>
      <c r="D165" s="36"/>
      <c r="E165" s="36"/>
      <c r="F165" s="256">
        <f>VLOOKUP($A$2,'LEA Post-65 (2)'!$B:$EC,40,FALSE)/1000</f>
        <v>-1.5991095120000001</v>
      </c>
      <c r="G165" s="36"/>
      <c r="H165" s="36"/>
      <c r="I165" s="36"/>
      <c r="J165" s="37"/>
      <c r="L165" s="4"/>
      <c r="M165" s="361" t="s">
        <v>499</v>
      </c>
    </row>
    <row r="166" spans="1:13">
      <c r="A166" s="33"/>
      <c r="B166" s="36" t="s">
        <v>107</v>
      </c>
      <c r="C166" s="36"/>
      <c r="D166" s="36"/>
      <c r="E166" s="36"/>
      <c r="F166" s="256">
        <f>VLOOKUP($A$2,'LEA Post-65 (2)'!$B:$EC,41,FALSE)/1000</f>
        <v>-6.8762817199999997</v>
      </c>
      <c r="G166" s="36"/>
      <c r="H166" s="36"/>
      <c r="I166" s="36"/>
      <c r="J166" s="37"/>
      <c r="L166" s="4"/>
      <c r="M166" s="361" t="s">
        <v>499</v>
      </c>
    </row>
    <row r="167" spans="1:13">
      <c r="A167" s="33"/>
      <c r="B167" s="36"/>
      <c r="C167" s="36"/>
      <c r="D167" s="36"/>
      <c r="E167" s="36"/>
      <c r="F167" s="36"/>
      <c r="G167" s="36"/>
      <c r="H167" s="36"/>
      <c r="I167" s="36"/>
      <c r="J167" s="37"/>
      <c r="L167" s="4"/>
    </row>
    <row r="168" spans="1:13" ht="29.25" customHeight="1">
      <c r="A168" s="269" t="s">
        <v>108</v>
      </c>
      <c r="B168" s="269"/>
      <c r="C168" s="269"/>
      <c r="D168" s="269"/>
      <c r="E168" s="269"/>
      <c r="F168" s="269"/>
      <c r="G168" s="269"/>
      <c r="H168" s="269"/>
      <c r="I168" s="269"/>
      <c r="J168" s="37"/>
      <c r="L168" s="4"/>
      <c r="M168" s="358" t="s">
        <v>496</v>
      </c>
    </row>
    <row r="169" spans="1:13">
      <c r="A169" s="36"/>
      <c r="B169" s="36"/>
      <c r="C169" s="36"/>
      <c r="D169" s="36"/>
      <c r="E169" s="36"/>
      <c r="F169" s="36"/>
      <c r="G169" s="36"/>
      <c r="H169" s="36"/>
      <c r="I169" s="36"/>
      <c r="J169" s="37"/>
      <c r="L169" s="4"/>
      <c r="M169" s="362"/>
    </row>
    <row r="170" spans="1:13">
      <c r="A170" s="273" t="s">
        <v>109</v>
      </c>
      <c r="B170" s="273"/>
      <c r="C170" s="273"/>
      <c r="D170" s="273"/>
      <c r="E170" s="273"/>
      <c r="F170" s="273"/>
      <c r="G170" s="273"/>
      <c r="H170" s="273"/>
      <c r="I170" s="274"/>
      <c r="J170" s="37"/>
      <c r="K170" s="3" t="s">
        <v>110</v>
      </c>
      <c r="L170" s="4" t="s">
        <v>111</v>
      </c>
      <c r="M170" s="362"/>
    </row>
    <row r="171" spans="1:13" ht="29.25" customHeight="1">
      <c r="A171" s="272" t="s">
        <v>149</v>
      </c>
      <c r="B171" s="272"/>
      <c r="C171" s="272"/>
      <c r="D171" s="272"/>
      <c r="E171" s="272"/>
      <c r="F171" s="272"/>
      <c r="G171" s="272"/>
      <c r="H171" s="272"/>
      <c r="I171" s="276"/>
      <c r="J171" s="37"/>
      <c r="L171" s="4"/>
      <c r="M171" s="362"/>
    </row>
    <row r="172" spans="1:13">
      <c r="A172" s="272" t="s">
        <v>488</v>
      </c>
      <c r="B172" s="273"/>
      <c r="C172" s="273"/>
      <c r="D172" s="273"/>
      <c r="E172" s="273"/>
      <c r="F172" s="273"/>
      <c r="G172" s="273"/>
      <c r="H172" s="273"/>
      <c r="I172" s="274"/>
      <c r="J172" s="37"/>
      <c r="L172" s="4"/>
      <c r="M172" s="362"/>
    </row>
    <row r="173" spans="1:13">
      <c r="A173" s="10" t="s">
        <v>144</v>
      </c>
      <c r="J173" s="37"/>
      <c r="L173" s="4"/>
      <c r="M173" s="362"/>
    </row>
    <row r="174" spans="1:13">
      <c r="A174" s="3"/>
      <c r="E174" s="38">
        <v>2018</v>
      </c>
      <c r="F174" s="39"/>
      <c r="G174" s="39"/>
      <c r="H174" s="39"/>
      <c r="I174" s="39"/>
      <c r="J174" s="37"/>
      <c r="L174" s="4"/>
      <c r="M174" s="362"/>
    </row>
    <row r="175" spans="1:13">
      <c r="A175" s="10" t="s">
        <v>114</v>
      </c>
      <c r="C175" s="39"/>
      <c r="D175" s="39"/>
      <c r="E175" s="39"/>
      <c r="F175" s="39"/>
      <c r="G175" s="39"/>
      <c r="H175" s="39"/>
      <c r="I175" s="39"/>
      <c r="J175" s="39"/>
      <c r="K175" s="39"/>
      <c r="L175" s="45"/>
      <c r="M175" s="362"/>
    </row>
    <row r="176" spans="1:13" ht="30">
      <c r="A176" s="3" t="s">
        <v>115</v>
      </c>
      <c r="C176" s="34"/>
      <c r="D176" s="34"/>
      <c r="E176" s="34">
        <f>VLOOKUP($A$2,'LEA Post-65 (1)'!$B:$EC,14,FALSE)/1000</f>
        <v>8.718</v>
      </c>
      <c r="F176" s="18"/>
      <c r="G176" s="18"/>
      <c r="H176" s="18"/>
      <c r="I176" s="18"/>
      <c r="J176" s="18"/>
      <c r="K176" s="34"/>
      <c r="L176" s="4" t="s">
        <v>116</v>
      </c>
      <c r="M176" s="361" t="s">
        <v>503</v>
      </c>
    </row>
    <row r="177" spans="1:13">
      <c r="A177" s="3" t="s">
        <v>117</v>
      </c>
      <c r="E177" s="170">
        <f>VLOOKUP($A$2,'LEA Post-65 (1)'!$B:$EC,15,FALSE)/1000</f>
        <v>8.4209999999999994</v>
      </c>
      <c r="F177" s="37"/>
      <c r="G177" s="37"/>
      <c r="H177" s="37"/>
      <c r="I177" s="37"/>
      <c r="J177" s="37"/>
      <c r="L177" s="4" t="s">
        <v>116</v>
      </c>
      <c r="M177" s="361" t="s">
        <v>499</v>
      </c>
    </row>
    <row r="178" spans="1:13">
      <c r="A178" s="3" t="s">
        <v>118</v>
      </c>
      <c r="E178" s="170">
        <f>VLOOKUP($A$2,'LEA Post-65 (1)'!$B:$EC,16,FALSE)/1000</f>
        <v>0</v>
      </c>
      <c r="F178" s="37"/>
      <c r="G178" s="37"/>
      <c r="H178" s="37"/>
      <c r="I178" s="37"/>
      <c r="J178" s="37"/>
      <c r="L178" s="4" t="s">
        <v>116</v>
      </c>
      <c r="M178" s="361" t="s">
        <v>499</v>
      </c>
    </row>
    <row r="179" spans="1:13">
      <c r="A179" s="3" t="s">
        <v>119</v>
      </c>
      <c r="E179" s="170">
        <f>VLOOKUP($A$2,'LEA Post-65 (1)'!$B:$EC,17,FALSE)/1000</f>
        <v>0</v>
      </c>
      <c r="F179" s="37"/>
      <c r="G179" s="37"/>
      <c r="H179" s="37"/>
      <c r="I179" s="37"/>
      <c r="J179" s="37"/>
      <c r="L179" s="4" t="s">
        <v>116</v>
      </c>
      <c r="M179" s="361" t="s">
        <v>499</v>
      </c>
    </row>
    <row r="180" spans="1:13">
      <c r="A180" s="3" t="s">
        <v>120</v>
      </c>
      <c r="E180" s="170">
        <f>VLOOKUP($A$2,'LEA Post-65 (1)'!$B:$EC,18,FALSE)/1000</f>
        <v>-29.725999999999999</v>
      </c>
      <c r="F180" s="37"/>
      <c r="G180" s="37"/>
      <c r="H180" s="37"/>
      <c r="I180" s="37"/>
      <c r="J180" s="37"/>
      <c r="L180" s="4" t="s">
        <v>116</v>
      </c>
      <c r="M180" s="361" t="s">
        <v>499</v>
      </c>
    </row>
    <row r="181" spans="1:13">
      <c r="A181" s="3" t="s">
        <v>121</v>
      </c>
      <c r="E181" s="172">
        <f>-VLOOKUP($A$2,'LEA Post-65 (1)'!$B:$EC,19,FALSE)/1000</f>
        <v>-6.9</v>
      </c>
      <c r="F181" s="37"/>
      <c r="G181" s="37"/>
      <c r="H181" s="37"/>
      <c r="I181" s="37"/>
      <c r="J181" s="37"/>
      <c r="L181" s="4" t="s">
        <v>116</v>
      </c>
      <c r="M181" s="361" t="s">
        <v>499</v>
      </c>
    </row>
    <row r="182" spans="1:13">
      <c r="A182" s="10" t="s">
        <v>122</v>
      </c>
      <c r="E182" s="34">
        <f>SUM(E176:E181)</f>
        <v>-19.487000000000002</v>
      </c>
      <c r="F182" s="18"/>
      <c r="G182" s="18"/>
      <c r="H182" s="18"/>
      <c r="I182" s="18"/>
      <c r="J182" s="37"/>
      <c r="L182" s="4" t="s">
        <v>116</v>
      </c>
      <c r="M182" s="361" t="s">
        <v>499</v>
      </c>
    </row>
    <row r="183" spans="1:13">
      <c r="A183" s="10" t="s">
        <v>123</v>
      </c>
      <c r="E183" s="172">
        <f>VLOOKUP($A$2,'LEA Post-65 (1)'!$B:$EC,6,FALSE)/1000</f>
        <v>283.13099999999997</v>
      </c>
      <c r="F183" s="37"/>
      <c r="G183" s="37"/>
      <c r="H183" s="37"/>
      <c r="I183" s="37"/>
      <c r="J183" s="37"/>
      <c r="L183" s="4" t="s">
        <v>116</v>
      </c>
      <c r="M183" s="361" t="s">
        <v>499</v>
      </c>
    </row>
    <row r="184" spans="1:13" ht="15.75" thickBot="1">
      <c r="A184" s="10" t="s">
        <v>124</v>
      </c>
      <c r="E184" s="23">
        <f>E182+E183</f>
        <v>263.64399999999995</v>
      </c>
      <c r="F184" s="18"/>
      <c r="G184" s="18"/>
      <c r="H184" s="18"/>
      <c r="I184" s="18"/>
      <c r="J184" s="37"/>
      <c r="L184" s="4" t="s">
        <v>125</v>
      </c>
      <c r="M184" s="361" t="s">
        <v>499</v>
      </c>
    </row>
    <row r="185" spans="1:13" ht="15.75" thickTop="1">
      <c r="A185" s="3"/>
      <c r="F185" s="37"/>
      <c r="G185" s="37"/>
      <c r="H185" s="37"/>
      <c r="I185" s="37"/>
      <c r="J185" s="37"/>
      <c r="L185" s="4"/>
      <c r="M185" s="362"/>
    </row>
    <row r="186" spans="1:13" ht="39" customHeight="1">
      <c r="A186" s="277" t="s">
        <v>126</v>
      </c>
      <c r="B186" s="277"/>
      <c r="C186" s="277"/>
      <c r="D186" s="277"/>
      <c r="E186" s="24">
        <f>VLOOKUP($A$2,'LEA Post-65 (2)'!$B:$EC,7,FALSE)/1000</f>
        <v>117.56100000000001</v>
      </c>
      <c r="F186" s="24"/>
      <c r="G186" s="24"/>
      <c r="H186" s="24"/>
      <c r="I186" s="24"/>
      <c r="J186" s="37"/>
      <c r="L186" s="4" t="s">
        <v>127</v>
      </c>
      <c r="M186" s="358" t="s">
        <v>506</v>
      </c>
    </row>
    <row r="187" spans="1:13">
      <c r="A187" s="3"/>
      <c r="F187" s="24"/>
      <c r="G187" s="24"/>
      <c r="H187" s="24"/>
      <c r="I187" s="24"/>
      <c r="J187" s="37"/>
      <c r="L187" s="4"/>
      <c r="M187" s="362"/>
    </row>
    <row r="188" spans="1:13" ht="26.25" customHeight="1">
      <c r="A188" s="277" t="s">
        <v>128</v>
      </c>
      <c r="B188" s="277"/>
      <c r="C188" s="277"/>
      <c r="D188" s="277"/>
      <c r="E188" s="24">
        <f>VLOOKUP($A$2,'LEA Post-65 (2)'!$B:$EC,8,FALSE)/1000</f>
        <v>146.083</v>
      </c>
      <c r="F188" s="24"/>
      <c r="G188" s="24"/>
      <c r="H188" s="24"/>
      <c r="I188" s="24"/>
      <c r="J188" s="37"/>
      <c r="L188" s="4" t="s">
        <v>129</v>
      </c>
      <c r="M188" s="361" t="s">
        <v>503</v>
      </c>
    </row>
    <row r="189" spans="1:13">
      <c r="A189" s="3"/>
      <c r="J189" s="37"/>
      <c r="L189" s="4"/>
      <c r="M189" s="362"/>
    </row>
    <row r="190" spans="1:13" ht="63.75" customHeight="1">
      <c r="A190" s="10" t="s">
        <v>130</v>
      </c>
      <c r="E190" s="34" t="s">
        <v>440</v>
      </c>
      <c r="F190" s="34"/>
      <c r="G190" s="34"/>
      <c r="H190" s="34"/>
      <c r="I190" s="34"/>
      <c r="J190" s="37"/>
      <c r="L190" s="4" t="s">
        <v>131</v>
      </c>
      <c r="M190" s="358" t="s">
        <v>508</v>
      </c>
    </row>
    <row r="191" spans="1:13">
      <c r="A191" s="3"/>
      <c r="J191" s="37"/>
      <c r="L191" s="4"/>
      <c r="M191" s="362"/>
    </row>
    <row r="192" spans="1:13" ht="45" customHeight="1">
      <c r="A192" s="277" t="s">
        <v>132</v>
      </c>
      <c r="B192" s="269"/>
      <c r="C192" s="269"/>
      <c r="D192" s="269"/>
      <c r="E192" s="35" t="e">
        <f>E188/E190</f>
        <v>#VALUE!</v>
      </c>
      <c r="F192" s="35"/>
      <c r="G192" s="35"/>
      <c r="H192" s="35"/>
      <c r="I192" s="35"/>
      <c r="J192" s="37"/>
      <c r="L192" s="4" t="s">
        <v>133</v>
      </c>
      <c r="M192" s="358" t="s">
        <v>506</v>
      </c>
    </row>
    <row r="193" spans="1:14">
      <c r="A193" s="3"/>
      <c r="J193" s="37"/>
      <c r="L193" s="4"/>
      <c r="M193" s="362"/>
    </row>
    <row r="194" spans="1:14" ht="17.25" customHeight="1">
      <c r="A194" s="10" t="s">
        <v>134</v>
      </c>
      <c r="J194" s="37"/>
      <c r="M194" s="362"/>
    </row>
    <row r="195" spans="1:14">
      <c r="A195" s="10"/>
      <c r="J195" s="37"/>
      <c r="M195" s="362"/>
    </row>
    <row r="196" spans="1:14" ht="27.75" customHeight="1">
      <c r="A196" s="269" t="s">
        <v>135</v>
      </c>
      <c r="B196" s="269"/>
      <c r="C196" s="269"/>
      <c r="D196" s="269"/>
      <c r="E196" s="269"/>
      <c r="F196" s="269"/>
      <c r="G196" s="269"/>
      <c r="H196" s="269"/>
      <c r="I196" s="269"/>
      <c r="J196" s="37"/>
      <c r="L196" s="4">
        <v>171</v>
      </c>
      <c r="M196" s="361" t="s">
        <v>496</v>
      </c>
    </row>
    <row r="197" spans="1:14">
      <c r="A197" s="3"/>
      <c r="J197" s="37"/>
      <c r="L197" s="4"/>
      <c r="M197" s="361"/>
    </row>
    <row r="198" spans="1:14">
      <c r="A198" s="269" t="s">
        <v>136</v>
      </c>
      <c r="B198" s="269"/>
      <c r="C198" s="269"/>
      <c r="D198" s="269"/>
      <c r="E198" s="269"/>
      <c r="F198" s="269"/>
      <c r="G198" s="269"/>
      <c r="H198" s="269"/>
      <c r="I198" s="269"/>
      <c r="J198" s="37"/>
      <c r="L198" s="4"/>
      <c r="M198" s="361" t="s">
        <v>499</v>
      </c>
      <c r="N198" s="42"/>
    </row>
    <row r="199" spans="1:14">
      <c r="A199" s="3"/>
      <c r="J199" s="37"/>
      <c r="L199" s="4"/>
      <c r="M199" s="361"/>
      <c r="N199" s="42"/>
    </row>
    <row r="200" spans="1:14" ht="25.5" customHeight="1">
      <c r="A200" s="269" t="s">
        <v>137</v>
      </c>
      <c r="B200" s="269"/>
      <c r="C200" s="269"/>
      <c r="D200" s="269"/>
      <c r="E200" s="269"/>
      <c r="F200" s="269"/>
      <c r="G200" s="269"/>
      <c r="H200" s="269"/>
      <c r="I200" s="269"/>
      <c r="J200" s="37"/>
      <c r="L200" s="4"/>
      <c r="M200" s="361" t="s">
        <v>507</v>
      </c>
      <c r="N200" s="42"/>
    </row>
    <row r="201" spans="1:14">
      <c r="A201" s="3"/>
      <c r="J201" s="37"/>
      <c r="L201" s="4"/>
      <c r="N201" s="42"/>
    </row>
    <row r="202" spans="1:14">
      <c r="L202" s="4"/>
    </row>
    <row r="203" spans="1:14">
      <c r="L203" s="4"/>
    </row>
    <row r="204" spans="1:14">
      <c r="L204" s="4"/>
    </row>
    <row r="205" spans="1:14">
      <c r="L205" s="4"/>
      <c r="M205" s="44"/>
    </row>
  </sheetData>
  <mergeCells count="70">
    <mergeCell ref="B27:I27"/>
    <mergeCell ref="A3:I3"/>
    <mergeCell ref="B5:I5"/>
    <mergeCell ref="L5:N5"/>
    <mergeCell ref="B10:I10"/>
    <mergeCell ref="B12:I12"/>
    <mergeCell ref="B15:I15"/>
    <mergeCell ref="B17:I17"/>
    <mergeCell ref="B19:I19"/>
    <mergeCell ref="B21:I21"/>
    <mergeCell ref="B23:I23"/>
    <mergeCell ref="B25:I25"/>
    <mergeCell ref="A62:E62"/>
    <mergeCell ref="B30:I30"/>
    <mergeCell ref="B32:I32"/>
    <mergeCell ref="B34:I34"/>
    <mergeCell ref="B36:I36"/>
    <mergeCell ref="B38:I38"/>
    <mergeCell ref="B41:I41"/>
    <mergeCell ref="B43:I43"/>
    <mergeCell ref="A49:I49"/>
    <mergeCell ref="A55:I55"/>
    <mergeCell ref="A57:I57"/>
    <mergeCell ref="A59:I59"/>
    <mergeCell ref="A105:E105"/>
    <mergeCell ref="A64:E64"/>
    <mergeCell ref="A66:E66"/>
    <mergeCell ref="A69:I69"/>
    <mergeCell ref="A77:I77"/>
    <mergeCell ref="E79:H79"/>
    <mergeCell ref="E80:H80"/>
    <mergeCell ref="E81:H81"/>
    <mergeCell ref="A84:I84"/>
    <mergeCell ref="A86:I86"/>
    <mergeCell ref="A103:E103"/>
    <mergeCell ref="A130:I130"/>
    <mergeCell ref="A107:E107"/>
    <mergeCell ref="A109:I109"/>
    <mergeCell ref="A117:I117"/>
    <mergeCell ref="A119:I119"/>
    <mergeCell ref="A121:I121"/>
    <mergeCell ref="A123:I123"/>
    <mergeCell ref="A125:I125"/>
    <mergeCell ref="D127:E127"/>
    <mergeCell ref="F127:G127"/>
    <mergeCell ref="H127:I127"/>
    <mergeCell ref="A128:C128"/>
    <mergeCell ref="A200:I200"/>
    <mergeCell ref="A170:I170"/>
    <mergeCell ref="A171:I171"/>
    <mergeCell ref="A172:I172"/>
    <mergeCell ref="A186:D186"/>
    <mergeCell ref="A188:D188"/>
    <mergeCell ref="A192:D192"/>
    <mergeCell ref="A2:E2"/>
    <mergeCell ref="A90:C90"/>
    <mergeCell ref="A158:C158"/>
    <mergeCell ref="A196:I196"/>
    <mergeCell ref="A198:I198"/>
    <mergeCell ref="A168:I168"/>
    <mergeCell ref="D132:E132"/>
    <mergeCell ref="F132:G132"/>
    <mergeCell ref="H132:I132"/>
    <mergeCell ref="A133:C133"/>
    <mergeCell ref="A137:I137"/>
    <mergeCell ref="A144:I144"/>
    <mergeCell ref="A146:B146"/>
    <mergeCell ref="A150:E150"/>
    <mergeCell ref="A154:I154"/>
    <mergeCell ref="A156:I156"/>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14:formula1>
            <xm:f>'LEA Pre-65 (1)'!$B$5:$B$150</xm:f>
          </x14:formula1>
          <xm:sqref>A2</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7"/>
  <sheetViews>
    <sheetView tabSelected="1" workbookViewId="0">
      <pane ySplit="2" topLeftCell="A3" activePane="bottomLeft" state="frozen"/>
      <selection pane="bottomLeft" activeCell="M160" sqref="M160"/>
    </sheetView>
  </sheetViews>
  <sheetFormatPr defaultRowHeight="15"/>
  <cols>
    <col min="1" max="1" width="9.140625" style="12"/>
    <col min="2" max="8" width="9.140625" style="3"/>
    <col min="9" max="9" width="9.140625" style="3" customWidth="1"/>
    <col min="10" max="11" width="9.140625" style="3"/>
    <col min="12" max="12" width="15.85546875" style="3" customWidth="1"/>
    <col min="13" max="13" width="39.5703125" style="41" customWidth="1"/>
    <col min="14" max="14" width="31.5703125" style="42" customWidth="1"/>
    <col min="15" max="16384" width="9.140625" style="2"/>
  </cols>
  <sheetData>
    <row r="1" spans="1:14" s="191" customFormat="1">
      <c r="A1" s="142" t="s">
        <v>158</v>
      </c>
      <c r="F1" s="148"/>
      <c r="G1" s="139"/>
      <c r="H1" s="139"/>
      <c r="I1" s="148"/>
      <c r="J1" s="139"/>
      <c r="K1" s="139"/>
    </row>
    <row r="2" spans="1:14" s="191" customFormat="1">
      <c r="A2" s="265" t="s">
        <v>249</v>
      </c>
      <c r="B2" s="265"/>
      <c r="C2" s="265"/>
      <c r="D2" s="265"/>
      <c r="E2" s="265"/>
      <c r="F2" s="149"/>
      <c r="G2" s="139"/>
      <c r="H2" s="139"/>
      <c r="I2" s="149"/>
      <c r="J2" s="139"/>
      <c r="K2" s="139"/>
    </row>
    <row r="3" spans="1:14" s="1" customFormat="1" ht="27" customHeight="1">
      <c r="A3" s="282" t="s">
        <v>490</v>
      </c>
      <c r="B3" s="282"/>
      <c r="C3" s="282"/>
      <c r="D3" s="282"/>
      <c r="E3" s="282"/>
      <c r="F3" s="282"/>
      <c r="G3" s="282"/>
      <c r="H3" s="282"/>
      <c r="I3" s="282"/>
      <c r="J3" s="3"/>
      <c r="K3" s="3"/>
      <c r="L3" s="4"/>
      <c r="M3" s="3"/>
      <c r="N3" s="3"/>
    </row>
    <row r="4" spans="1:14">
      <c r="A4" s="40" t="s">
        <v>0</v>
      </c>
      <c r="B4" s="10"/>
      <c r="C4" s="10"/>
      <c r="D4" s="10"/>
      <c r="E4" s="10"/>
      <c r="F4" s="10"/>
      <c r="G4" s="10"/>
      <c r="H4" s="10"/>
      <c r="I4" s="10"/>
      <c r="J4" s="10"/>
      <c r="K4" s="10"/>
    </row>
    <row r="5" spans="1:14">
      <c r="B5" s="3" t="s">
        <v>1</v>
      </c>
    </row>
    <row r="7" spans="1:14" ht="109.5" customHeight="1">
      <c r="B7" s="283" t="s">
        <v>489</v>
      </c>
      <c r="C7" s="283"/>
      <c r="D7" s="283"/>
      <c r="E7" s="283"/>
      <c r="F7" s="283"/>
      <c r="G7" s="283"/>
      <c r="H7" s="283"/>
      <c r="I7" s="283"/>
    </row>
    <row r="9" spans="1:14" hidden="1">
      <c r="A9" s="43"/>
      <c r="B9" s="10" t="s">
        <v>2</v>
      </c>
    </row>
    <row r="10" spans="1:14" ht="51.75" hidden="1" customHeight="1">
      <c r="A10" s="43" t="s">
        <v>3</v>
      </c>
      <c r="B10" s="269" t="s">
        <v>4</v>
      </c>
      <c r="C10" s="269"/>
      <c r="D10" s="269"/>
      <c r="E10" s="269"/>
      <c r="F10" s="269"/>
      <c r="G10" s="269"/>
      <c r="H10" s="269"/>
      <c r="I10" s="269"/>
      <c r="K10" s="3" t="s">
        <v>5</v>
      </c>
      <c r="M10" s="41">
        <v>193</v>
      </c>
      <c r="N10" s="42" t="s">
        <v>150</v>
      </c>
    </row>
    <row r="11" spans="1:14" hidden="1">
      <c r="A11" s="43"/>
    </row>
    <row r="12" spans="1:14" ht="42" hidden="1" customHeight="1">
      <c r="A12" s="43" t="s">
        <v>3</v>
      </c>
      <c r="B12" s="269" t="s">
        <v>6</v>
      </c>
      <c r="C12" s="269"/>
      <c r="D12" s="269"/>
      <c r="E12" s="269"/>
      <c r="F12" s="269"/>
      <c r="G12" s="269"/>
      <c r="H12" s="269"/>
      <c r="I12" s="269"/>
      <c r="K12" s="3" t="s">
        <v>7</v>
      </c>
      <c r="M12" s="41" t="s">
        <v>8</v>
      </c>
      <c r="N12" s="42" t="s">
        <v>150</v>
      </c>
    </row>
    <row r="13" spans="1:14" hidden="1">
      <c r="A13" s="43"/>
    </row>
    <row r="14" spans="1:14">
      <c r="A14" s="43"/>
      <c r="B14" s="10" t="s">
        <v>151</v>
      </c>
    </row>
    <row r="15" spans="1:14" ht="28.5" customHeight="1">
      <c r="A15" s="43" t="s">
        <v>3</v>
      </c>
      <c r="B15" s="269" t="s">
        <v>152</v>
      </c>
      <c r="C15" s="269"/>
      <c r="D15" s="269"/>
      <c r="E15" s="269"/>
      <c r="F15" s="269"/>
      <c r="G15" s="269"/>
      <c r="H15" s="269"/>
      <c r="I15" s="269"/>
      <c r="K15" s="3" t="s">
        <v>5</v>
      </c>
      <c r="M15" s="41" t="s">
        <v>11</v>
      </c>
    </row>
    <row r="16" spans="1:14">
      <c r="A16" s="43"/>
      <c r="B16" s="10"/>
    </row>
    <row r="17" spans="1:14" ht="51.75" hidden="1" customHeight="1">
      <c r="A17" s="43">
        <v>1</v>
      </c>
      <c r="B17" s="269" t="s">
        <v>12</v>
      </c>
      <c r="C17" s="269"/>
      <c r="D17" s="269"/>
      <c r="E17" s="269"/>
      <c r="F17" s="269"/>
      <c r="G17" s="269"/>
      <c r="H17" s="269"/>
      <c r="I17" s="269"/>
      <c r="K17" s="3" t="s">
        <v>5</v>
      </c>
      <c r="M17" s="41" t="s">
        <v>13</v>
      </c>
      <c r="N17" s="42" t="s">
        <v>150</v>
      </c>
    </row>
    <row r="18" spans="1:14" hidden="1">
      <c r="A18" s="43"/>
    </row>
    <row r="19" spans="1:14" ht="53.25" hidden="1" customHeight="1">
      <c r="A19" s="43">
        <v>2</v>
      </c>
      <c r="B19" s="269" t="s">
        <v>14</v>
      </c>
      <c r="C19" s="269"/>
      <c r="D19" s="269"/>
      <c r="E19" s="269"/>
      <c r="F19" s="269"/>
      <c r="G19" s="269"/>
      <c r="H19" s="269"/>
      <c r="I19" s="269"/>
      <c r="K19" s="3" t="s">
        <v>5</v>
      </c>
      <c r="M19" s="41" t="s">
        <v>15</v>
      </c>
      <c r="N19" s="42" t="s">
        <v>150</v>
      </c>
    </row>
    <row r="20" spans="1:14" hidden="1">
      <c r="A20" s="43"/>
    </row>
    <row r="21" spans="1:14" ht="78.75" hidden="1" customHeight="1">
      <c r="A21" s="43">
        <v>3</v>
      </c>
      <c r="B21" s="269" t="s">
        <v>16</v>
      </c>
      <c r="C21" s="269"/>
      <c r="D21" s="269"/>
      <c r="E21" s="269"/>
      <c r="F21" s="269"/>
      <c r="G21" s="269"/>
      <c r="H21" s="269"/>
      <c r="I21" s="269"/>
      <c r="K21" s="3" t="s">
        <v>5</v>
      </c>
      <c r="M21" s="41">
        <v>196</v>
      </c>
      <c r="N21" s="42" t="s">
        <v>150</v>
      </c>
    </row>
    <row r="22" spans="1:14" hidden="1">
      <c r="A22" s="43"/>
      <c r="B22" s="36"/>
      <c r="C22" s="36"/>
      <c r="D22" s="36"/>
      <c r="E22" s="36"/>
      <c r="F22" s="36"/>
      <c r="G22" s="36"/>
      <c r="H22" s="36"/>
      <c r="I22" s="36"/>
    </row>
    <row r="23" spans="1:14" ht="79.5" hidden="1" customHeight="1">
      <c r="A23" s="43">
        <v>4</v>
      </c>
      <c r="B23" s="269" t="s">
        <v>17</v>
      </c>
      <c r="C23" s="269"/>
      <c r="D23" s="269"/>
      <c r="E23" s="269"/>
      <c r="F23" s="269"/>
      <c r="G23" s="269"/>
      <c r="H23" s="269"/>
      <c r="I23" s="269"/>
      <c r="K23" s="3" t="s">
        <v>5</v>
      </c>
      <c r="M23" s="41">
        <v>197</v>
      </c>
      <c r="N23" s="42" t="s">
        <v>150</v>
      </c>
    </row>
    <row r="24" spans="1:14" hidden="1">
      <c r="A24" s="43"/>
    </row>
    <row r="25" spans="1:14" ht="39" customHeight="1">
      <c r="A25" s="43" t="s">
        <v>3</v>
      </c>
      <c r="B25" s="269" t="s">
        <v>153</v>
      </c>
      <c r="C25" s="269"/>
      <c r="D25" s="269"/>
      <c r="E25" s="269"/>
      <c r="F25" s="269"/>
      <c r="G25" s="269"/>
      <c r="H25" s="269"/>
      <c r="I25" s="269"/>
      <c r="K25" s="3" t="s">
        <v>5</v>
      </c>
      <c r="M25" s="41">
        <v>198</v>
      </c>
    </row>
    <row r="26" spans="1:14">
      <c r="A26" s="43"/>
      <c r="B26" s="36"/>
      <c r="C26" s="36"/>
      <c r="D26" s="36"/>
      <c r="E26" s="36"/>
      <c r="F26" s="36"/>
      <c r="G26" s="36"/>
      <c r="H26" s="36"/>
      <c r="I26" s="36"/>
    </row>
    <row r="27" spans="1:14" ht="52.5" customHeight="1">
      <c r="A27" s="43">
        <v>6</v>
      </c>
      <c r="B27" s="269" t="s">
        <v>19</v>
      </c>
      <c r="C27" s="269"/>
      <c r="D27" s="269"/>
      <c r="E27" s="269"/>
      <c r="F27" s="269"/>
      <c r="G27" s="269"/>
      <c r="H27" s="269"/>
      <c r="I27" s="269"/>
      <c r="K27" s="3" t="s">
        <v>474</v>
      </c>
      <c r="M27" s="41" t="s">
        <v>20</v>
      </c>
      <c r="N27" s="44"/>
    </row>
    <row r="28" spans="1:14">
      <c r="A28" s="43"/>
      <c r="N28" s="44"/>
    </row>
    <row r="29" spans="1:14" ht="15" hidden="1" customHeight="1">
      <c r="A29" s="43"/>
    </row>
    <row r="30" spans="1:14" hidden="1">
      <c r="A30" s="43"/>
      <c r="B30" s="10" t="s">
        <v>21</v>
      </c>
    </row>
    <row r="31" spans="1:14" ht="26.25" hidden="1" customHeight="1">
      <c r="A31" s="43">
        <v>1</v>
      </c>
      <c r="B31" s="269" t="s">
        <v>22</v>
      </c>
      <c r="C31" s="269"/>
      <c r="D31" s="269"/>
      <c r="E31" s="269"/>
      <c r="F31" s="269"/>
      <c r="G31" s="269"/>
      <c r="H31" s="269"/>
      <c r="I31" s="269"/>
      <c r="K31" s="3" t="s">
        <v>5</v>
      </c>
      <c r="M31" s="41" t="s">
        <v>13</v>
      </c>
      <c r="N31" s="42" t="s">
        <v>150</v>
      </c>
    </row>
    <row r="32" spans="1:14" hidden="1">
      <c r="A32" s="43"/>
    </row>
    <row r="33" spans="1:14" ht="26.25" hidden="1" customHeight="1">
      <c r="A33" s="43">
        <v>2</v>
      </c>
      <c r="B33" s="269" t="s">
        <v>23</v>
      </c>
      <c r="C33" s="269"/>
      <c r="D33" s="269"/>
      <c r="E33" s="269"/>
      <c r="F33" s="269"/>
      <c r="G33" s="269"/>
      <c r="H33" s="269"/>
      <c r="I33" s="269"/>
      <c r="K33" s="3" t="s">
        <v>5</v>
      </c>
      <c r="M33" s="41" t="s">
        <v>15</v>
      </c>
      <c r="N33" s="42" t="s">
        <v>150</v>
      </c>
    </row>
    <row r="34" spans="1:14" hidden="1">
      <c r="A34" s="43"/>
    </row>
    <row r="35" spans="1:14" ht="26.25" hidden="1" customHeight="1">
      <c r="A35" s="43">
        <v>3</v>
      </c>
      <c r="B35" s="269" t="s">
        <v>24</v>
      </c>
      <c r="C35" s="269"/>
      <c r="D35" s="269"/>
      <c r="E35" s="269"/>
      <c r="F35" s="269"/>
      <c r="G35" s="269"/>
      <c r="H35" s="269"/>
      <c r="I35" s="269"/>
      <c r="K35" s="3" t="s">
        <v>5</v>
      </c>
      <c r="M35" s="41">
        <v>196</v>
      </c>
      <c r="N35" s="42" t="s">
        <v>150</v>
      </c>
    </row>
    <row r="36" spans="1:14" hidden="1">
      <c r="A36" s="43"/>
      <c r="B36" s="36"/>
      <c r="C36" s="36"/>
      <c r="D36" s="36"/>
      <c r="E36" s="36"/>
      <c r="F36" s="36"/>
      <c r="G36" s="36"/>
      <c r="H36" s="36"/>
      <c r="I36" s="36"/>
    </row>
    <row r="37" spans="1:14" ht="24.75" hidden="1" customHeight="1">
      <c r="A37" s="43">
        <v>4</v>
      </c>
      <c r="B37" s="269" t="s">
        <v>25</v>
      </c>
      <c r="C37" s="269"/>
      <c r="D37" s="269"/>
      <c r="E37" s="269"/>
      <c r="F37" s="269"/>
      <c r="G37" s="269"/>
      <c r="H37" s="269"/>
      <c r="I37" s="269"/>
      <c r="K37" s="3" t="s">
        <v>5</v>
      </c>
      <c r="M37" s="41">
        <v>197</v>
      </c>
      <c r="N37" s="42" t="s">
        <v>150</v>
      </c>
    </row>
    <row r="38" spans="1:14" hidden="1">
      <c r="A38" s="43"/>
    </row>
    <row r="39" spans="1:14" ht="53.25" hidden="1" customHeight="1">
      <c r="A39" s="43">
        <v>5</v>
      </c>
      <c r="B39" s="269" t="s">
        <v>26</v>
      </c>
      <c r="C39" s="269"/>
      <c r="D39" s="269"/>
      <c r="E39" s="269"/>
      <c r="F39" s="269"/>
      <c r="G39" s="269"/>
      <c r="H39" s="269"/>
      <c r="I39" s="269"/>
      <c r="K39" s="3" t="s">
        <v>5</v>
      </c>
      <c r="M39" s="41">
        <v>199</v>
      </c>
      <c r="N39" s="42" t="s">
        <v>150</v>
      </c>
    </row>
    <row r="40" spans="1:14" hidden="1">
      <c r="A40" s="43"/>
    </row>
    <row r="41" spans="1:14">
      <c r="A41" s="43"/>
      <c r="B41" s="10" t="s">
        <v>154</v>
      </c>
    </row>
    <row r="42" spans="1:14" ht="57" customHeight="1">
      <c r="A42" s="43" t="s">
        <v>3</v>
      </c>
      <c r="B42" s="269" t="s">
        <v>155</v>
      </c>
      <c r="C42" s="269"/>
      <c r="D42" s="269"/>
      <c r="E42" s="269"/>
      <c r="F42" s="269"/>
      <c r="G42" s="269"/>
      <c r="H42" s="269"/>
      <c r="I42" s="269"/>
      <c r="K42" s="3" t="s">
        <v>5</v>
      </c>
      <c r="M42" s="41">
        <v>200</v>
      </c>
    </row>
    <row r="43" spans="1:14">
      <c r="A43" s="43"/>
    </row>
    <row r="44" spans="1:14" ht="27.75" customHeight="1">
      <c r="A44" s="43" t="s">
        <v>3</v>
      </c>
      <c r="B44" s="269" t="s">
        <v>29</v>
      </c>
      <c r="C44" s="269"/>
      <c r="D44" s="269"/>
      <c r="E44" s="269"/>
      <c r="F44" s="269"/>
      <c r="G44" s="269"/>
      <c r="H44" s="269"/>
      <c r="I44" s="269"/>
      <c r="K44" s="3" t="s">
        <v>474</v>
      </c>
      <c r="M44" s="41" t="s">
        <v>30</v>
      </c>
    </row>
    <row r="45" spans="1:14">
      <c r="A45" s="43"/>
    </row>
    <row r="46" spans="1:14">
      <c r="A46" s="10" t="s">
        <v>31</v>
      </c>
      <c r="B46" s="10"/>
      <c r="L46" s="4"/>
      <c r="M46" s="44"/>
    </row>
    <row r="47" spans="1:14">
      <c r="L47" s="4"/>
      <c r="M47" s="44"/>
    </row>
    <row r="48" spans="1:14">
      <c r="A48" s="10" t="s">
        <v>32</v>
      </c>
      <c r="B48" s="10"/>
      <c r="L48" s="4"/>
      <c r="M48" s="360" t="s">
        <v>493</v>
      </c>
    </row>
    <row r="49" spans="1:14">
      <c r="A49" s="10"/>
      <c r="B49" s="10"/>
      <c r="L49" s="4"/>
      <c r="M49" s="362"/>
    </row>
    <row r="50" spans="1:14" ht="54" customHeight="1">
      <c r="A50" s="269" t="s">
        <v>33</v>
      </c>
      <c r="B50" s="269"/>
      <c r="C50" s="269"/>
      <c r="D50" s="269"/>
      <c r="E50" s="269"/>
      <c r="F50" s="269"/>
      <c r="G50" s="269"/>
      <c r="H50" s="269"/>
      <c r="I50" s="269"/>
      <c r="L50" s="4">
        <v>162</v>
      </c>
      <c r="M50" s="362"/>
    </row>
    <row r="51" spans="1:14">
      <c r="A51" s="3"/>
      <c r="L51" s="4"/>
      <c r="M51" s="362"/>
    </row>
    <row r="52" spans="1:14">
      <c r="A52" s="10" t="s">
        <v>140</v>
      </c>
      <c r="B52" s="10"/>
      <c r="L52" s="4"/>
      <c r="M52" s="362"/>
    </row>
    <row r="53" spans="1:14">
      <c r="A53" s="10"/>
      <c r="B53" s="10"/>
      <c r="L53" s="4"/>
      <c r="M53" s="362"/>
    </row>
    <row r="54" spans="1:14">
      <c r="A54" s="11" t="s">
        <v>34</v>
      </c>
      <c r="B54" s="11"/>
      <c r="L54" s="4"/>
      <c r="M54" s="362"/>
    </row>
    <row r="55" spans="1:14">
      <c r="L55" s="4"/>
      <c r="M55" s="362"/>
    </row>
    <row r="56" spans="1:14" ht="121.5" customHeight="1">
      <c r="A56" s="281" t="s">
        <v>205</v>
      </c>
      <c r="B56" s="281"/>
      <c r="C56" s="281"/>
      <c r="D56" s="281"/>
      <c r="E56" s="281"/>
      <c r="F56" s="281"/>
      <c r="G56" s="281"/>
      <c r="H56" s="281"/>
      <c r="I56" s="281"/>
      <c r="L56" s="4" t="s">
        <v>35</v>
      </c>
      <c r="M56" s="358" t="s">
        <v>496</v>
      </c>
      <c r="N56" s="36"/>
    </row>
    <row r="57" spans="1:14">
      <c r="B57" s="36"/>
      <c r="C57" s="36"/>
      <c r="D57" s="36"/>
      <c r="E57" s="36"/>
      <c r="F57" s="36"/>
      <c r="G57" s="36"/>
      <c r="H57" s="36"/>
      <c r="I57" s="36"/>
      <c r="L57" s="4"/>
      <c r="M57" s="362"/>
    </row>
    <row r="58" spans="1:14" ht="203.25" customHeight="1">
      <c r="A58" s="281" t="s">
        <v>200</v>
      </c>
      <c r="B58" s="281"/>
      <c r="C58" s="281"/>
      <c r="D58" s="281"/>
      <c r="E58" s="281"/>
      <c r="F58" s="281"/>
      <c r="G58" s="281"/>
      <c r="H58" s="281"/>
      <c r="I58" s="281"/>
      <c r="L58" s="4" t="s">
        <v>141</v>
      </c>
      <c r="M58" s="358" t="s">
        <v>497</v>
      </c>
      <c r="N58" s="36"/>
    </row>
    <row r="59" spans="1:14">
      <c r="L59" s="4"/>
      <c r="M59" s="362"/>
    </row>
    <row r="60" spans="1:14" ht="28.5" customHeight="1">
      <c r="A60" s="269" t="s">
        <v>201</v>
      </c>
      <c r="B60" s="269"/>
      <c r="C60" s="269"/>
      <c r="D60" s="269"/>
      <c r="E60" s="269"/>
      <c r="F60" s="269"/>
      <c r="G60" s="269"/>
      <c r="H60" s="269"/>
      <c r="I60" s="269"/>
      <c r="L60" s="4" t="s">
        <v>37</v>
      </c>
      <c r="M60" s="362"/>
    </row>
    <row r="61" spans="1:14">
      <c r="L61" s="4"/>
      <c r="M61" s="362"/>
    </row>
    <row r="62" spans="1:14">
      <c r="G62" s="13"/>
      <c r="I62" s="13"/>
      <c r="L62" s="4"/>
      <c r="M62" s="362"/>
    </row>
    <row r="63" spans="1:14" ht="24.75" customHeight="1">
      <c r="A63" s="281" t="s">
        <v>190</v>
      </c>
      <c r="B63" s="281"/>
      <c r="C63" s="281"/>
      <c r="D63" s="281"/>
      <c r="E63" s="281"/>
      <c r="G63" s="150">
        <f>VLOOKUP($A$2,'LEA Post-65 (1)'!$B:$EC,2,FALSE)</f>
        <v>95</v>
      </c>
      <c r="I63" s="37"/>
      <c r="L63" s="4"/>
      <c r="M63" s="363" t="s">
        <v>498</v>
      </c>
    </row>
    <row r="64" spans="1:14">
      <c r="I64" s="37"/>
      <c r="L64" s="4"/>
      <c r="M64" s="363"/>
    </row>
    <row r="65" spans="1:13" ht="27.75" customHeight="1">
      <c r="A65" s="281" t="s">
        <v>191</v>
      </c>
      <c r="B65" s="281"/>
      <c r="C65" s="281"/>
      <c r="D65" s="281"/>
      <c r="E65" s="281"/>
      <c r="G65" s="150">
        <f>VLOOKUP($A$2,'LEA Post-65 (1)'!$B:$EC,3,FALSE)</f>
        <v>27</v>
      </c>
      <c r="I65" s="37"/>
      <c r="L65" s="4"/>
      <c r="M65" s="363" t="s">
        <v>499</v>
      </c>
    </row>
    <row r="66" spans="1:13">
      <c r="I66" s="37"/>
      <c r="L66" s="4"/>
      <c r="M66" s="363"/>
    </row>
    <row r="67" spans="1:13" ht="15" customHeight="1">
      <c r="A67" s="281" t="s">
        <v>38</v>
      </c>
      <c r="B67" s="281"/>
      <c r="C67" s="281"/>
      <c r="D67" s="281"/>
      <c r="E67" s="281"/>
      <c r="G67" s="14">
        <f>VLOOKUP($A$2,'LEA Post-65 (1)'!$B:$EC,4,FALSE)</f>
        <v>565</v>
      </c>
      <c r="I67" s="37"/>
      <c r="L67" s="4"/>
      <c r="M67" s="363" t="s">
        <v>499</v>
      </c>
    </row>
    <row r="68" spans="1:13" ht="15.75" thickBot="1">
      <c r="G68" s="15">
        <f>G63+G65+G67</f>
        <v>687</v>
      </c>
      <c r="I68" s="37"/>
      <c r="L68" s="4"/>
      <c r="M68" s="362"/>
    </row>
    <row r="69" spans="1:13" ht="15.75" thickTop="1">
      <c r="I69" s="37"/>
      <c r="L69" s="4"/>
      <c r="M69" s="362"/>
    </row>
    <row r="70" spans="1:13" ht="81.75" customHeight="1">
      <c r="A70" s="269" t="s">
        <v>156</v>
      </c>
      <c r="B70" s="269"/>
      <c r="C70" s="269"/>
      <c r="D70" s="269"/>
      <c r="E70" s="269"/>
      <c r="F70" s="269"/>
      <c r="G70" s="269"/>
      <c r="H70" s="269"/>
      <c r="I70" s="269"/>
      <c r="L70" s="4" t="s">
        <v>39</v>
      </c>
      <c r="M70" s="358" t="s">
        <v>500</v>
      </c>
    </row>
    <row r="71" spans="1:13">
      <c r="L71" s="4"/>
      <c r="M71" s="362"/>
    </row>
    <row r="72" spans="1:13">
      <c r="A72" s="11" t="s">
        <v>40</v>
      </c>
      <c r="L72" s="4"/>
      <c r="M72" s="358"/>
    </row>
    <row r="73" spans="1:13">
      <c r="L73" s="4"/>
      <c r="M73" s="358"/>
    </row>
    <row r="74" spans="1:13" ht="50.25" customHeight="1">
      <c r="A74" s="269" t="s">
        <v>192</v>
      </c>
      <c r="B74" s="269"/>
      <c r="C74" s="269"/>
      <c r="D74" s="269"/>
      <c r="E74" s="269"/>
      <c r="F74" s="269"/>
      <c r="G74" s="269"/>
      <c r="H74" s="269"/>
      <c r="I74" s="269"/>
      <c r="J74" s="37"/>
      <c r="L74" s="4" t="s">
        <v>41</v>
      </c>
      <c r="M74" s="358" t="s">
        <v>496</v>
      </c>
    </row>
    <row r="75" spans="1:13">
      <c r="A75" s="3"/>
      <c r="J75" s="37"/>
      <c r="L75" s="4"/>
      <c r="M75" s="362"/>
    </row>
    <row r="76" spans="1:13" ht="30">
      <c r="A76" s="3"/>
      <c r="B76" s="3" t="s">
        <v>42</v>
      </c>
      <c r="E76" s="278">
        <v>2.2499999999999999E-2</v>
      </c>
      <c r="F76" s="278"/>
      <c r="G76" s="278"/>
      <c r="H76" s="278"/>
      <c r="J76" s="37"/>
      <c r="L76" s="4"/>
      <c r="M76" s="361" t="s">
        <v>501</v>
      </c>
    </row>
    <row r="77" spans="1:13" ht="39.75" customHeight="1">
      <c r="A77" s="3"/>
      <c r="B77" s="12" t="s">
        <v>43</v>
      </c>
      <c r="E77" s="279" t="s">
        <v>44</v>
      </c>
      <c r="F77" s="279"/>
      <c r="G77" s="279"/>
      <c r="H77" s="279"/>
      <c r="J77" s="37"/>
      <c r="L77" s="4"/>
      <c r="M77" s="361" t="s">
        <v>499</v>
      </c>
    </row>
    <row r="78" spans="1:13" ht="58.5" customHeight="1">
      <c r="A78" s="3"/>
      <c r="B78" s="12" t="s">
        <v>45</v>
      </c>
      <c r="E78" s="280" t="s">
        <v>143</v>
      </c>
      <c r="F78" s="280"/>
      <c r="G78" s="280"/>
      <c r="H78" s="280"/>
      <c r="J78" s="37"/>
      <c r="L78" s="4"/>
      <c r="M78" s="361" t="s">
        <v>499</v>
      </c>
    </row>
    <row r="79" spans="1:13">
      <c r="A79" s="3"/>
      <c r="J79" s="37"/>
      <c r="L79" s="4"/>
      <c r="M79" s="358"/>
    </row>
    <row r="80" spans="1:13">
      <c r="A80" s="3"/>
      <c r="J80" s="37"/>
      <c r="L80" s="4"/>
      <c r="M80" s="362"/>
    </row>
    <row r="81" spans="1:13" ht="147.75" customHeight="1">
      <c r="A81" s="269" t="s">
        <v>189</v>
      </c>
      <c r="B81" s="269"/>
      <c r="C81" s="269"/>
      <c r="D81" s="269"/>
      <c r="E81" s="269"/>
      <c r="F81" s="269"/>
      <c r="G81" s="269"/>
      <c r="H81" s="269"/>
      <c r="I81" s="269"/>
      <c r="J81" s="37"/>
      <c r="L81" s="4">
        <v>166</v>
      </c>
      <c r="M81" s="358" t="s">
        <v>502</v>
      </c>
    </row>
    <row r="82" spans="1:13">
      <c r="A82" s="3"/>
      <c r="J82" s="37"/>
      <c r="L82" s="4"/>
      <c r="M82" s="362"/>
    </row>
    <row r="83" spans="1:13" ht="58.5" customHeight="1">
      <c r="A83" s="269" t="s">
        <v>193</v>
      </c>
      <c r="B83" s="269"/>
      <c r="C83" s="269"/>
      <c r="D83" s="269"/>
      <c r="E83" s="269"/>
      <c r="F83" s="269"/>
      <c r="G83" s="269"/>
      <c r="H83" s="269"/>
      <c r="I83" s="269"/>
      <c r="J83" s="37"/>
      <c r="L83" s="4">
        <v>166</v>
      </c>
      <c r="M83" s="358" t="s">
        <v>501</v>
      </c>
    </row>
    <row r="84" spans="1:13">
      <c r="A84" s="3"/>
      <c r="J84" s="37"/>
      <c r="L84" s="4"/>
      <c r="M84" s="362"/>
    </row>
    <row r="85" spans="1:13">
      <c r="A85" s="11" t="s">
        <v>49</v>
      </c>
      <c r="J85" s="37"/>
      <c r="L85" s="4">
        <v>168</v>
      </c>
      <c r="M85" s="362"/>
    </row>
    <row r="86" spans="1:13">
      <c r="A86" s="3"/>
      <c r="J86" s="37"/>
      <c r="L86" s="4"/>
      <c r="M86" s="362"/>
    </row>
    <row r="87" spans="1:13">
      <c r="A87" s="266" t="s">
        <v>484</v>
      </c>
      <c r="B87" s="266"/>
      <c r="C87" s="266"/>
      <c r="F87" s="37"/>
      <c r="J87" s="37"/>
      <c r="L87" s="4"/>
      <c r="M87" s="362"/>
    </row>
    <row r="88" spans="1:13" ht="51.75">
      <c r="A88" s="3"/>
      <c r="F88" s="16" t="s">
        <v>50</v>
      </c>
      <c r="G88" s="13"/>
      <c r="H88" s="13"/>
      <c r="I88" s="13"/>
      <c r="J88" s="37"/>
      <c r="L88" s="4"/>
      <c r="M88" s="362"/>
    </row>
    <row r="89" spans="1:13" ht="30">
      <c r="A89" s="3" t="s">
        <v>51</v>
      </c>
      <c r="F89" s="17">
        <f>VLOOKUP($A$2,'LEA Post-65 (1)'!$B:$EC,6,FALSE)/1000</f>
        <v>1542.298</v>
      </c>
      <c r="G89" s="18"/>
      <c r="H89" s="18"/>
      <c r="J89" s="37"/>
      <c r="L89" s="4" t="s">
        <v>52</v>
      </c>
      <c r="M89" s="361" t="s">
        <v>503</v>
      </c>
    </row>
    <row r="90" spans="1:13">
      <c r="A90" s="3" t="s">
        <v>53</v>
      </c>
      <c r="G90" s="37"/>
      <c r="H90" s="37"/>
      <c r="J90" s="37"/>
      <c r="L90" s="4"/>
      <c r="M90" s="361"/>
    </row>
    <row r="91" spans="1:13">
      <c r="A91" s="19" t="s">
        <v>54</v>
      </c>
      <c r="F91" s="20">
        <f>VLOOKUP($A$2,'LEA Post-65 (1)'!$B:$EC,14,FALSE)/1000</f>
        <v>43.94</v>
      </c>
      <c r="G91" s="21"/>
      <c r="H91" s="21"/>
      <c r="J91" s="37"/>
      <c r="L91" s="4" t="s">
        <v>55</v>
      </c>
      <c r="M91" s="361" t="s">
        <v>499</v>
      </c>
    </row>
    <row r="92" spans="1:13">
      <c r="A92" s="19" t="s">
        <v>56</v>
      </c>
      <c r="F92" s="20">
        <f>VLOOKUP($A$2,'LEA Post-65 (1)'!$B:$EC,15,FALSE)/1000</f>
        <v>45.601999999999997</v>
      </c>
      <c r="G92" s="21"/>
      <c r="H92" s="21"/>
      <c r="J92" s="37"/>
      <c r="L92" s="4" t="s">
        <v>57</v>
      </c>
      <c r="M92" s="361" t="s">
        <v>499</v>
      </c>
    </row>
    <row r="93" spans="1:13">
      <c r="A93" s="19" t="s">
        <v>58</v>
      </c>
      <c r="F93" s="20">
        <f>VLOOKUP($A$2,'LEA Post-65 (1)'!$B:$EC,16,FALSE)/1000</f>
        <v>0</v>
      </c>
      <c r="G93" s="21"/>
      <c r="H93" s="21"/>
      <c r="J93" s="37"/>
      <c r="L93" s="4" t="s">
        <v>59</v>
      </c>
      <c r="M93" s="361" t="s">
        <v>499</v>
      </c>
    </row>
    <row r="94" spans="1:13">
      <c r="A94" s="19" t="s">
        <v>60</v>
      </c>
      <c r="F94" s="20">
        <f>VLOOKUP($A$2,'LEA Post-65 (1)'!$B:$EC,17,FALSE)/1000</f>
        <v>0</v>
      </c>
      <c r="G94" s="21"/>
      <c r="H94" s="21"/>
      <c r="J94" s="37"/>
      <c r="L94" s="4" t="s">
        <v>61</v>
      </c>
      <c r="M94" s="361" t="s">
        <v>499</v>
      </c>
    </row>
    <row r="95" spans="1:13">
      <c r="A95" s="19" t="s">
        <v>62</v>
      </c>
      <c r="F95" s="20">
        <f>VLOOKUP($A$2,'LEA Post-65 (1)'!$B:$EC,18,FALSE)/1000</f>
        <v>-145.04900000000001</v>
      </c>
      <c r="G95" s="21"/>
      <c r="H95" s="21"/>
      <c r="J95" s="37"/>
      <c r="L95" s="4" t="s">
        <v>63</v>
      </c>
      <c r="M95" s="361" t="s">
        <v>499</v>
      </c>
    </row>
    <row r="96" spans="1:13">
      <c r="A96" s="19" t="s">
        <v>64</v>
      </c>
      <c r="F96" s="20">
        <f>-VLOOKUP($A$2,'LEA Post-65 (1)'!$B:$EC,19,FALSE)/1000</f>
        <v>-49.05</v>
      </c>
      <c r="G96" s="21"/>
      <c r="H96" s="21"/>
      <c r="J96" s="37"/>
      <c r="L96" s="4" t="s">
        <v>65</v>
      </c>
      <c r="M96" s="361" t="s">
        <v>499</v>
      </c>
    </row>
    <row r="97" spans="1:13">
      <c r="A97" s="3"/>
      <c r="B97" s="3" t="s">
        <v>66</v>
      </c>
      <c r="F97" s="22">
        <f>SUM(F90:F96)</f>
        <v>-104.557</v>
      </c>
      <c r="G97" s="21"/>
      <c r="H97" s="21"/>
      <c r="J97" s="37"/>
      <c r="L97" s="4"/>
      <c r="M97" s="361"/>
    </row>
    <row r="98" spans="1:13" ht="15.75" thickBot="1">
      <c r="A98" s="3" t="s">
        <v>67</v>
      </c>
      <c r="F98" s="23">
        <f>F89+F97</f>
        <v>1437.741</v>
      </c>
      <c r="G98" s="18"/>
      <c r="H98" s="18"/>
      <c r="J98" s="37"/>
      <c r="L98" s="4" t="s">
        <v>68</v>
      </c>
      <c r="M98" s="361" t="s">
        <v>499</v>
      </c>
    </row>
    <row r="99" spans="1:13" ht="15.75" thickTop="1">
      <c r="A99" s="3"/>
      <c r="G99" s="37"/>
      <c r="H99" s="37"/>
      <c r="J99" s="37"/>
      <c r="L99" s="4"/>
      <c r="M99" s="362"/>
    </row>
    <row r="100" spans="1:13" ht="27.75" customHeight="1">
      <c r="A100" s="269" t="s">
        <v>69</v>
      </c>
      <c r="B100" s="269"/>
      <c r="C100" s="269"/>
      <c r="D100" s="269"/>
      <c r="E100" s="269"/>
      <c r="F100" s="24">
        <f>VLOOKUP($A$2,'LEA Post-65 (2)'!$B:$EC,7,FALSE)/1000</f>
        <v>1437.741</v>
      </c>
      <c r="G100" s="37"/>
      <c r="H100" s="37"/>
      <c r="J100" s="37"/>
      <c r="L100" s="4" t="s">
        <v>70</v>
      </c>
      <c r="M100" s="358" t="s">
        <v>526</v>
      </c>
    </row>
    <row r="101" spans="1:13">
      <c r="A101" s="3"/>
      <c r="G101" s="37"/>
      <c r="H101" s="37"/>
      <c r="J101" s="37"/>
      <c r="L101" s="4"/>
      <c r="M101" s="362"/>
    </row>
    <row r="102" spans="1:13" ht="30.75" customHeight="1">
      <c r="A102" s="269" t="s">
        <v>71</v>
      </c>
      <c r="B102" s="269"/>
      <c r="C102" s="269"/>
      <c r="D102" s="269"/>
      <c r="E102" s="269"/>
      <c r="F102" s="24">
        <f>VLOOKUP($A$2,'LEA Post-65 (2)'!$B:$EC,8,FALSE)/1000</f>
        <v>0</v>
      </c>
      <c r="G102" s="37"/>
      <c r="H102" s="37"/>
      <c r="J102" s="37"/>
      <c r="L102" s="4" t="s">
        <v>72</v>
      </c>
      <c r="M102" s="361" t="s">
        <v>503</v>
      </c>
    </row>
    <row r="103" spans="1:13">
      <c r="A103" s="3"/>
      <c r="G103" s="37"/>
      <c r="H103" s="37"/>
      <c r="J103" s="37"/>
      <c r="L103" s="4"/>
      <c r="M103" s="362"/>
    </row>
    <row r="104" spans="1:13">
      <c r="A104" s="269" t="s">
        <v>73</v>
      </c>
      <c r="B104" s="269"/>
      <c r="C104" s="269"/>
      <c r="D104" s="269"/>
      <c r="E104" s="269"/>
      <c r="F104" s="25">
        <f>VLOOKUP($A$2,'LEA Post-65 (2)'!$B:$EC,5,FALSE)</f>
        <v>0</v>
      </c>
      <c r="G104" s="37"/>
      <c r="H104" s="37"/>
      <c r="J104" s="37"/>
      <c r="L104" s="4" t="s">
        <v>74</v>
      </c>
      <c r="M104" s="361" t="s">
        <v>499</v>
      </c>
    </row>
    <row r="105" spans="1:13">
      <c r="A105" s="3"/>
      <c r="G105" s="37"/>
      <c r="H105" s="37"/>
      <c r="J105" s="37"/>
      <c r="L105" s="4"/>
      <c r="M105" s="362"/>
    </row>
    <row r="106" spans="1:13" ht="92.25" customHeight="1">
      <c r="A106" s="269" t="s">
        <v>157</v>
      </c>
      <c r="B106" s="269"/>
      <c r="C106" s="269"/>
      <c r="D106" s="269"/>
      <c r="E106" s="269"/>
      <c r="F106" s="269"/>
      <c r="G106" s="269"/>
      <c r="H106" s="269"/>
      <c r="I106" s="269"/>
      <c r="J106" s="37"/>
      <c r="L106" s="4" t="s">
        <v>75</v>
      </c>
      <c r="M106" s="358" t="s">
        <v>496</v>
      </c>
    </row>
    <row r="107" spans="1:13" ht="15.75" thickBot="1">
      <c r="A107" s="3"/>
      <c r="G107" s="37"/>
      <c r="H107" s="37"/>
      <c r="J107" s="37"/>
      <c r="L107" s="4"/>
      <c r="M107" s="362"/>
    </row>
    <row r="108" spans="1:13" s="139" customFormat="1">
      <c r="A108" s="151" t="s">
        <v>435</v>
      </c>
      <c r="B108" s="152"/>
      <c r="C108" s="152"/>
      <c r="D108" s="152"/>
      <c r="E108" s="152"/>
      <c r="F108" s="152"/>
      <c r="G108" s="152"/>
      <c r="H108" s="152"/>
      <c r="I108" s="153"/>
      <c r="J108" s="137"/>
      <c r="K108" s="137"/>
      <c r="L108" s="138"/>
      <c r="M108" s="358"/>
    </row>
    <row r="109" spans="1:13" s="139" customFormat="1">
      <c r="A109" s="154" t="s">
        <v>436</v>
      </c>
      <c r="B109" s="155"/>
      <c r="C109" s="155"/>
      <c r="D109" s="158">
        <f>VLOOKUP($A$2,'LEA Post-65 (2)'!$B:$EC,5,FALSE)-VLOOKUP($A$2,'LEA Post-65 (2)'!$B:$EC,5,FALSE)</f>
        <v>0</v>
      </c>
      <c r="E109" s="155"/>
      <c r="F109" s="155"/>
      <c r="G109" s="155"/>
      <c r="H109" s="155"/>
      <c r="I109" s="156"/>
      <c r="J109" s="137"/>
      <c r="K109" s="137"/>
      <c r="L109" s="138"/>
      <c r="M109" s="358"/>
    </row>
    <row r="110" spans="1:13" s="139" customFormat="1">
      <c r="A110" s="154" t="s">
        <v>437</v>
      </c>
      <c r="B110" s="155"/>
      <c r="C110" s="155"/>
      <c r="D110" s="128">
        <f>VLOOKUP($A$2,'LEA Post-65 (2)'!$B:$EC,10,FALSE)/1000</f>
        <v>75.459999999999994</v>
      </c>
      <c r="E110" s="155"/>
      <c r="F110" s="155"/>
      <c r="G110" s="155"/>
      <c r="H110" s="155"/>
      <c r="I110" s="156"/>
      <c r="J110" s="137"/>
      <c r="K110" s="137"/>
      <c r="L110" s="138"/>
      <c r="M110" s="358" t="s">
        <v>525</v>
      </c>
    </row>
    <row r="111" spans="1:13" s="139" customFormat="1">
      <c r="A111" s="154"/>
      <c r="B111" s="155"/>
      <c r="C111" s="155"/>
      <c r="D111" s="158"/>
      <c r="E111" s="155"/>
      <c r="F111" s="155"/>
      <c r="G111" s="155"/>
      <c r="H111" s="155"/>
      <c r="I111" s="156"/>
      <c r="J111" s="137"/>
      <c r="K111" s="137"/>
      <c r="L111" s="138"/>
      <c r="M111" s="358"/>
    </row>
    <row r="112" spans="1:13" s="139" customFormat="1" ht="15.75" thickBot="1">
      <c r="A112" s="161"/>
      <c r="B112" s="157"/>
      <c r="C112" s="157"/>
      <c r="D112" s="157"/>
      <c r="E112" s="157"/>
      <c r="F112" s="157"/>
      <c r="G112" s="157"/>
      <c r="H112" s="157"/>
      <c r="I112" s="160"/>
      <c r="J112" s="137"/>
      <c r="K112" s="137"/>
      <c r="L112" s="138"/>
      <c r="M112" s="358"/>
    </row>
    <row r="113" spans="1:14" s="139" customFormat="1">
      <c r="A113" s="159"/>
      <c r="B113" s="140"/>
      <c r="C113" s="140"/>
      <c r="D113" s="140"/>
      <c r="E113" s="140"/>
      <c r="F113" s="140"/>
      <c r="G113" s="140"/>
      <c r="H113" s="140"/>
      <c r="I113" s="140"/>
      <c r="J113" s="137"/>
      <c r="K113" s="137"/>
      <c r="L113" s="138"/>
      <c r="M113" s="358"/>
    </row>
    <row r="114" spans="1:14" ht="27" customHeight="1">
      <c r="A114" s="269" t="s">
        <v>194</v>
      </c>
      <c r="B114" s="269"/>
      <c r="C114" s="269"/>
      <c r="D114" s="269"/>
      <c r="E114" s="269"/>
      <c r="F114" s="269"/>
      <c r="G114" s="269"/>
      <c r="H114" s="269"/>
      <c r="I114" s="269"/>
      <c r="J114" s="37"/>
      <c r="L114" s="4" t="s">
        <v>76</v>
      </c>
      <c r="M114" s="358" t="s">
        <v>501</v>
      </c>
    </row>
    <row r="115" spans="1:14">
      <c r="A115" s="3"/>
      <c r="J115" s="37"/>
      <c r="L115" s="4"/>
      <c r="M115" s="362"/>
    </row>
    <row r="116" spans="1:14" ht="30.75" hidden="1" customHeight="1">
      <c r="A116" s="269" t="s">
        <v>195</v>
      </c>
      <c r="B116" s="269"/>
      <c r="C116" s="269"/>
      <c r="D116" s="269"/>
      <c r="E116" s="269"/>
      <c r="F116" s="269"/>
      <c r="G116" s="269"/>
      <c r="H116" s="269"/>
      <c r="I116" s="269"/>
      <c r="J116" s="37"/>
      <c r="L116" s="4" t="s">
        <v>77</v>
      </c>
      <c r="M116" s="362"/>
      <c r="N116" s="42" t="s">
        <v>78</v>
      </c>
    </row>
    <row r="117" spans="1:14" hidden="1">
      <c r="A117" s="3"/>
      <c r="J117" s="37"/>
      <c r="L117" s="4"/>
      <c r="M117" s="362"/>
    </row>
    <row r="118" spans="1:14" ht="31.5" hidden="1" customHeight="1">
      <c r="A118" s="269" t="s">
        <v>196</v>
      </c>
      <c r="B118" s="269"/>
      <c r="C118" s="269"/>
      <c r="D118" s="269"/>
      <c r="E118" s="269"/>
      <c r="F118" s="269"/>
      <c r="G118" s="269"/>
      <c r="H118" s="269"/>
      <c r="I118" s="269"/>
      <c r="J118" s="37"/>
      <c r="L118" s="4" t="s">
        <v>79</v>
      </c>
      <c r="M118" s="362"/>
      <c r="N118" s="42" t="s">
        <v>78</v>
      </c>
    </row>
    <row r="119" spans="1:14" hidden="1">
      <c r="A119" s="3"/>
      <c r="J119" s="37"/>
      <c r="L119" s="4"/>
      <c r="M119" s="362"/>
    </row>
    <row r="120" spans="1:14" ht="54.75" hidden="1" customHeight="1">
      <c r="A120" s="269" t="s">
        <v>202</v>
      </c>
      <c r="B120" s="269"/>
      <c r="C120" s="269"/>
      <c r="D120" s="269"/>
      <c r="E120" s="269"/>
      <c r="F120" s="269"/>
      <c r="G120" s="269"/>
      <c r="H120" s="269"/>
      <c r="I120" s="269"/>
      <c r="J120" s="37"/>
      <c r="L120" s="4" t="s">
        <v>80</v>
      </c>
      <c r="M120" s="362"/>
      <c r="N120" s="42" t="s">
        <v>78</v>
      </c>
    </row>
    <row r="121" spans="1:14" hidden="1">
      <c r="A121" s="3"/>
      <c r="J121" s="37"/>
      <c r="L121" s="4"/>
      <c r="M121" s="362"/>
    </row>
    <row r="122" spans="1:14" ht="71.25" hidden="1" customHeight="1">
      <c r="A122" s="269" t="s">
        <v>492</v>
      </c>
      <c r="B122" s="269"/>
      <c r="C122" s="269"/>
      <c r="D122" s="269"/>
      <c r="E122" s="269"/>
      <c r="F122" s="269"/>
      <c r="G122" s="269"/>
      <c r="H122" s="269"/>
      <c r="I122" s="268"/>
      <c r="J122" s="37"/>
      <c r="L122" s="4" t="s">
        <v>81</v>
      </c>
      <c r="M122" s="358" t="s">
        <v>496</v>
      </c>
    </row>
    <row r="123" spans="1:14" hidden="1">
      <c r="A123" s="3"/>
      <c r="J123" s="37"/>
      <c r="L123" s="4"/>
      <c r="M123" s="362"/>
    </row>
    <row r="124" spans="1:14" ht="26.25" hidden="1" customHeight="1">
      <c r="A124" s="3"/>
      <c r="D124" s="270" t="s">
        <v>82</v>
      </c>
      <c r="E124" s="271"/>
      <c r="F124" s="270" t="s">
        <v>83</v>
      </c>
      <c r="G124" s="271"/>
      <c r="H124" s="270" t="s">
        <v>84</v>
      </c>
      <c r="I124" s="271"/>
      <c r="J124" s="37"/>
      <c r="L124" s="4"/>
      <c r="M124" s="358" t="s">
        <v>504</v>
      </c>
    </row>
    <row r="125" spans="1:14" ht="27" hidden="1" customHeight="1">
      <c r="A125" s="269" t="s">
        <v>85</v>
      </c>
      <c r="B125" s="269"/>
      <c r="C125" s="269"/>
      <c r="D125" s="26" t="s">
        <v>86</v>
      </c>
      <c r="E125" s="20">
        <f>VLOOKUP($A$2,'LEA Post-65 (2)'!$B:$EC,53,FALSE)/1000</f>
        <v>0</v>
      </c>
      <c r="F125" s="26" t="s">
        <v>86</v>
      </c>
      <c r="G125" s="20">
        <f>VLOOKUP($A$2,'LEA Post-65 (2)'!$B:$EC,8,FALSE)/1000</f>
        <v>0</v>
      </c>
      <c r="H125" s="26" t="s">
        <v>86</v>
      </c>
      <c r="I125" s="20">
        <f>VLOOKUP($A$2,'LEA Post-65 (2)'!$B:$EC,54,FALSE)/1000</f>
        <v>0</v>
      </c>
      <c r="J125" s="37"/>
      <c r="L125" s="4"/>
      <c r="M125" s="358"/>
    </row>
    <row r="126" spans="1:14" hidden="1">
      <c r="A126" s="3"/>
      <c r="E126" s="20"/>
      <c r="G126" s="20"/>
      <c r="I126" s="20"/>
      <c r="J126" s="37"/>
      <c r="L126" s="4"/>
    </row>
    <row r="127" spans="1:14" ht="78.75" hidden="1" customHeight="1">
      <c r="A127" s="269" t="s">
        <v>206</v>
      </c>
      <c r="B127" s="269"/>
      <c r="C127" s="269"/>
      <c r="D127" s="269"/>
      <c r="E127" s="269"/>
      <c r="F127" s="269"/>
      <c r="G127" s="269"/>
      <c r="H127" s="269"/>
      <c r="I127" s="268"/>
      <c r="J127" s="37"/>
      <c r="L127" s="4" t="s">
        <v>87</v>
      </c>
      <c r="M127" s="358" t="s">
        <v>496</v>
      </c>
    </row>
    <row r="128" spans="1:14" hidden="1">
      <c r="A128" s="3"/>
      <c r="J128" s="37"/>
      <c r="L128" s="4"/>
      <c r="M128" s="362"/>
    </row>
    <row r="129" spans="1:13" ht="56.25" hidden="1" customHeight="1">
      <c r="A129" s="3"/>
      <c r="D129" s="270" t="s">
        <v>146</v>
      </c>
      <c r="E129" s="271"/>
      <c r="F129" s="270" t="s">
        <v>147</v>
      </c>
      <c r="G129" s="271"/>
      <c r="H129" s="270" t="s">
        <v>148</v>
      </c>
      <c r="I129" s="271"/>
      <c r="J129" s="37"/>
      <c r="L129" s="4"/>
      <c r="M129" s="358" t="s">
        <v>504</v>
      </c>
    </row>
    <row r="130" spans="1:13" ht="27" hidden="1" customHeight="1">
      <c r="A130" s="269" t="s">
        <v>85</v>
      </c>
      <c r="B130" s="269"/>
      <c r="C130" s="269"/>
      <c r="D130" s="26" t="s">
        <v>86</v>
      </c>
      <c r="E130" s="20">
        <v>-22000</v>
      </c>
      <c r="F130" s="26" t="s">
        <v>86</v>
      </c>
      <c r="G130" s="20">
        <v>50000</v>
      </c>
      <c r="H130" s="26" t="s">
        <v>86</v>
      </c>
      <c r="I130" s="20">
        <v>75000</v>
      </c>
      <c r="J130" s="37"/>
      <c r="L130" s="4"/>
      <c r="M130" s="358"/>
    </row>
    <row r="131" spans="1:13" hidden="1">
      <c r="A131" s="3"/>
      <c r="J131" s="37"/>
      <c r="L131" s="4"/>
    </row>
    <row r="132" spans="1:13">
      <c r="A132" s="11" t="s">
        <v>88</v>
      </c>
      <c r="J132" s="37"/>
      <c r="L132" s="4"/>
      <c r="M132" s="362"/>
    </row>
    <row r="133" spans="1:13">
      <c r="A133" s="3"/>
      <c r="J133" s="37"/>
      <c r="L133" s="4"/>
      <c r="M133" s="362"/>
    </row>
    <row r="134" spans="1:13" ht="30" customHeight="1">
      <c r="A134" s="269" t="s">
        <v>203</v>
      </c>
      <c r="B134" s="269"/>
      <c r="C134" s="269"/>
      <c r="D134" s="269"/>
      <c r="E134" s="269"/>
      <c r="F134" s="269"/>
      <c r="G134" s="269"/>
      <c r="H134" s="269"/>
      <c r="I134" s="269"/>
      <c r="J134" s="37"/>
      <c r="L134" s="4" t="s">
        <v>89</v>
      </c>
      <c r="M134" s="358" t="s">
        <v>496</v>
      </c>
    </row>
    <row r="135" spans="1:13" ht="15.75" thickBot="1">
      <c r="A135" s="3"/>
      <c r="J135" s="37"/>
      <c r="L135" s="4"/>
      <c r="M135" s="362"/>
    </row>
    <row r="136" spans="1:13" s="139" customFormat="1">
      <c r="A136" s="151" t="s">
        <v>435</v>
      </c>
      <c r="B136" s="152"/>
      <c r="C136" s="152"/>
      <c r="D136" s="152"/>
      <c r="E136" s="152"/>
      <c r="F136" s="152"/>
      <c r="G136" s="152"/>
      <c r="H136" s="152"/>
      <c r="I136" s="153"/>
      <c r="J136" s="137"/>
      <c r="K136" s="137"/>
      <c r="L136" s="138"/>
      <c r="M136" s="358"/>
    </row>
    <row r="137" spans="1:13" s="139" customFormat="1">
      <c r="A137" s="154" t="s">
        <v>168</v>
      </c>
      <c r="B137" s="155"/>
      <c r="C137" s="155"/>
      <c r="D137" s="128">
        <f>VLOOKUP($A$2,'LEA Post-65 (2)'!$B:$EC,9,FALSE)/1000</f>
        <v>75.459999999999994</v>
      </c>
      <c r="E137" s="155"/>
      <c r="F137" s="155"/>
      <c r="G137" s="155"/>
      <c r="H137" s="155"/>
      <c r="I137" s="156"/>
      <c r="J137" s="137"/>
      <c r="K137" s="137"/>
      <c r="L137" s="138"/>
      <c r="M137" s="358" t="s">
        <v>505</v>
      </c>
    </row>
    <row r="138" spans="1:13" s="139" customFormat="1">
      <c r="A138" s="154"/>
      <c r="B138" s="155"/>
      <c r="C138" s="155"/>
      <c r="D138" s="158"/>
      <c r="E138" s="155"/>
      <c r="F138" s="155"/>
      <c r="G138" s="155"/>
      <c r="H138" s="155"/>
      <c r="I138" s="156"/>
      <c r="J138" s="137"/>
      <c r="K138" s="137"/>
      <c r="L138" s="138"/>
      <c r="M138" s="358"/>
    </row>
    <row r="139" spans="1:13" s="139" customFormat="1" ht="15.75" thickBot="1">
      <c r="A139" s="161"/>
      <c r="B139" s="157"/>
      <c r="C139" s="157"/>
      <c r="D139" s="157"/>
      <c r="E139" s="157"/>
      <c r="F139" s="157"/>
      <c r="G139" s="157"/>
      <c r="H139" s="157"/>
      <c r="I139" s="160"/>
      <c r="J139" s="137"/>
      <c r="K139" s="137"/>
      <c r="L139" s="138"/>
      <c r="M139" s="358"/>
    </row>
    <row r="140" spans="1:13" s="139" customFormat="1">
      <c r="A140" s="159"/>
      <c r="B140" s="140"/>
      <c r="C140" s="140"/>
      <c r="D140" s="140"/>
      <c r="E140" s="140"/>
      <c r="F140" s="140"/>
      <c r="G140" s="140"/>
      <c r="H140" s="140"/>
      <c r="I140" s="140"/>
      <c r="J140" s="137"/>
      <c r="K140" s="137"/>
      <c r="L140" s="138"/>
      <c r="M140" s="358"/>
    </row>
    <row r="141" spans="1:13">
      <c r="A141" s="3"/>
      <c r="J141" s="37"/>
      <c r="L141" s="4"/>
      <c r="M141" s="358"/>
    </row>
    <row r="142" spans="1:13">
      <c r="A142" s="273" t="s">
        <v>109</v>
      </c>
      <c r="B142" s="273"/>
      <c r="C142" s="273"/>
      <c r="D142" s="273"/>
      <c r="E142" s="273"/>
      <c r="F142" s="273"/>
      <c r="G142" s="273"/>
      <c r="H142" s="273"/>
      <c r="I142" s="274"/>
      <c r="J142" s="37"/>
      <c r="K142" s="3" t="s">
        <v>110</v>
      </c>
      <c r="L142" s="4" t="s">
        <v>111</v>
      </c>
      <c r="M142" s="362"/>
    </row>
    <row r="143" spans="1:13" ht="29.25" customHeight="1">
      <c r="A143" s="272" t="s">
        <v>149</v>
      </c>
      <c r="B143" s="272"/>
      <c r="C143" s="272"/>
      <c r="D143" s="272"/>
      <c r="E143" s="272"/>
      <c r="F143" s="272"/>
      <c r="G143" s="272"/>
      <c r="H143" s="272"/>
      <c r="I143" s="276"/>
      <c r="J143" s="37"/>
      <c r="L143" s="4"/>
      <c r="M143" s="362"/>
    </row>
    <row r="144" spans="1:13">
      <c r="A144" s="272" t="s">
        <v>113</v>
      </c>
      <c r="B144" s="273"/>
      <c r="C144" s="273"/>
      <c r="D144" s="273"/>
      <c r="E144" s="273"/>
      <c r="F144" s="273"/>
      <c r="G144" s="273"/>
      <c r="H144" s="273"/>
      <c r="I144" s="274"/>
      <c r="J144" s="37"/>
      <c r="L144" s="4"/>
      <c r="M144" s="362"/>
    </row>
    <row r="145" spans="1:13">
      <c r="A145" s="10" t="s">
        <v>144</v>
      </c>
      <c r="J145" s="37"/>
      <c r="L145" s="4"/>
      <c r="M145" s="361"/>
    </row>
    <row r="146" spans="1:13">
      <c r="A146" s="3"/>
      <c r="E146" s="38">
        <v>2018</v>
      </c>
      <c r="F146" s="39"/>
      <c r="G146" s="39"/>
      <c r="H146" s="39"/>
      <c r="I146" s="39"/>
      <c r="J146" s="37"/>
      <c r="L146" s="4"/>
      <c r="M146" s="361"/>
    </row>
    <row r="147" spans="1:13" ht="30">
      <c r="A147" s="10" t="s">
        <v>114</v>
      </c>
      <c r="C147" s="39"/>
      <c r="D147" s="39"/>
      <c r="E147" s="39"/>
      <c r="F147" s="39"/>
      <c r="G147" s="39"/>
      <c r="H147" s="39"/>
      <c r="I147" s="39"/>
      <c r="J147" s="39"/>
      <c r="K147" s="39"/>
      <c r="L147" s="45"/>
      <c r="M147" s="361" t="s">
        <v>503</v>
      </c>
    </row>
    <row r="148" spans="1:13">
      <c r="A148" s="3" t="s">
        <v>115</v>
      </c>
      <c r="C148" s="34"/>
      <c r="D148" s="34"/>
      <c r="E148" s="34">
        <f>VLOOKUP($A$2,'LEA Post-65 (1)'!$B:$EC,14,FALSE)/1000</f>
        <v>43.94</v>
      </c>
      <c r="F148" s="18"/>
      <c r="G148" s="18"/>
      <c r="H148" s="18"/>
      <c r="I148" s="18"/>
      <c r="J148" s="18"/>
      <c r="K148" s="34"/>
      <c r="L148" s="4" t="s">
        <v>116</v>
      </c>
      <c r="M148" s="361"/>
    </row>
    <row r="149" spans="1:13">
      <c r="A149" s="3" t="s">
        <v>117</v>
      </c>
      <c r="E149" s="170">
        <f>VLOOKUP($A$2,'LEA Post-65 (1)'!$B:$EC,15,FALSE)/1000</f>
        <v>45.601999999999997</v>
      </c>
      <c r="F149" s="37"/>
      <c r="G149" s="37"/>
      <c r="H149" s="37"/>
      <c r="I149" s="37"/>
      <c r="J149" s="37"/>
      <c r="L149" s="4" t="s">
        <v>116</v>
      </c>
      <c r="M149" s="361" t="s">
        <v>499</v>
      </c>
    </row>
    <row r="150" spans="1:13">
      <c r="A150" s="3" t="s">
        <v>118</v>
      </c>
      <c r="E150" s="170">
        <f>VLOOKUP($A$2,'LEA Post-65 (1)'!$B:$EC,16,FALSE)/1000</f>
        <v>0</v>
      </c>
      <c r="F150" s="37"/>
      <c r="G150" s="37"/>
      <c r="H150" s="37"/>
      <c r="I150" s="37"/>
      <c r="J150" s="37"/>
      <c r="L150" s="4" t="s">
        <v>116</v>
      </c>
      <c r="M150" s="361" t="s">
        <v>499</v>
      </c>
    </row>
    <row r="151" spans="1:13">
      <c r="A151" s="3" t="s">
        <v>119</v>
      </c>
      <c r="E151" s="170">
        <f>VLOOKUP($A$2,'LEA Post-65 (1)'!$B:$EC,17,FALSE)/1000</f>
        <v>0</v>
      </c>
      <c r="F151" s="37"/>
      <c r="G151" s="37"/>
      <c r="H151" s="37"/>
      <c r="I151" s="37"/>
      <c r="J151" s="37"/>
      <c r="L151" s="4" t="s">
        <v>116</v>
      </c>
      <c r="M151" s="361" t="s">
        <v>499</v>
      </c>
    </row>
    <row r="152" spans="1:13">
      <c r="A152" s="3" t="s">
        <v>120</v>
      </c>
      <c r="E152" s="170">
        <f>VLOOKUP($A$2,'LEA Post-65 (1)'!$B:$EC,18,FALSE)/1000</f>
        <v>-145.04900000000001</v>
      </c>
      <c r="F152" s="37"/>
      <c r="G152" s="37"/>
      <c r="H152" s="37"/>
      <c r="I152" s="37"/>
      <c r="J152" s="37"/>
      <c r="L152" s="4" t="s">
        <v>116</v>
      </c>
      <c r="M152" s="361" t="s">
        <v>499</v>
      </c>
    </row>
    <row r="153" spans="1:13">
      <c r="A153" s="3" t="s">
        <v>121</v>
      </c>
      <c r="E153" s="172">
        <f>-VLOOKUP($A$2,'LEA Post-65 (1)'!$B:$EC,19,FALSE)/1000</f>
        <v>-49.05</v>
      </c>
      <c r="F153" s="37"/>
      <c r="G153" s="37"/>
      <c r="H153" s="37"/>
      <c r="I153" s="37"/>
      <c r="J153" s="37"/>
      <c r="L153" s="4" t="s">
        <v>116</v>
      </c>
      <c r="M153" s="361" t="s">
        <v>499</v>
      </c>
    </row>
    <row r="154" spans="1:13">
      <c r="A154" s="10" t="s">
        <v>122</v>
      </c>
      <c r="E154" s="34">
        <f>SUM(E148:E153)</f>
        <v>-104.557</v>
      </c>
      <c r="F154" s="18"/>
      <c r="G154" s="18"/>
      <c r="H154" s="18"/>
      <c r="I154" s="18"/>
      <c r="J154" s="37"/>
      <c r="L154" s="4" t="s">
        <v>116</v>
      </c>
      <c r="M154" s="361" t="s">
        <v>499</v>
      </c>
    </row>
    <row r="155" spans="1:13">
      <c r="A155" s="10" t="s">
        <v>123</v>
      </c>
      <c r="E155" s="172">
        <f>VLOOKUP($A$2,'LEA Post-65 (1)'!$B:$EC,6,FALSE)/1000</f>
        <v>1542.298</v>
      </c>
      <c r="F155" s="37"/>
      <c r="G155" s="37"/>
      <c r="H155" s="37"/>
      <c r="I155" s="37"/>
      <c r="J155" s="37"/>
      <c r="L155" s="4" t="s">
        <v>116</v>
      </c>
      <c r="M155" s="361"/>
    </row>
    <row r="156" spans="1:13" ht="15.75" thickBot="1">
      <c r="A156" s="10" t="s">
        <v>124</v>
      </c>
      <c r="E156" s="23">
        <f>E154+E155</f>
        <v>1437.741</v>
      </c>
      <c r="F156" s="18"/>
      <c r="G156" s="18"/>
      <c r="H156" s="18"/>
      <c r="I156" s="18"/>
      <c r="J156" s="37"/>
      <c r="L156" s="4" t="s">
        <v>125</v>
      </c>
      <c r="M156" s="361" t="s">
        <v>499</v>
      </c>
    </row>
    <row r="157" spans="1:13" ht="15.75" thickTop="1">
      <c r="A157" s="3"/>
      <c r="F157" s="37"/>
      <c r="G157" s="37"/>
      <c r="H157" s="37"/>
      <c r="I157" s="37"/>
      <c r="J157" s="37"/>
      <c r="L157" s="4"/>
      <c r="M157" s="362"/>
    </row>
    <row r="158" spans="1:13" ht="39" customHeight="1">
      <c r="A158" s="277" t="s">
        <v>126</v>
      </c>
      <c r="B158" s="277"/>
      <c r="C158" s="277"/>
      <c r="D158" s="277"/>
      <c r="E158" s="24">
        <f>VLOOKUP($A$2,'LEA Post-65 (2)'!$B:$EC,7,FALSE)/1000</f>
        <v>1437.741</v>
      </c>
      <c r="F158" s="24"/>
      <c r="G158" s="24"/>
      <c r="H158" s="24"/>
      <c r="I158" s="24"/>
      <c r="J158" s="37"/>
      <c r="L158" s="4" t="s">
        <v>127</v>
      </c>
      <c r="M158" s="358" t="s">
        <v>526</v>
      </c>
    </row>
    <row r="159" spans="1:13">
      <c r="A159" s="3"/>
      <c r="E159" s="24"/>
      <c r="F159" s="24"/>
      <c r="G159" s="24"/>
      <c r="H159" s="24"/>
      <c r="I159" s="24"/>
      <c r="J159" s="37"/>
      <c r="L159" s="4"/>
      <c r="M159" s="362"/>
    </row>
    <row r="160" spans="1:13" ht="26.25" customHeight="1">
      <c r="A160" s="277" t="s">
        <v>128</v>
      </c>
      <c r="B160" s="277"/>
      <c r="C160" s="277"/>
      <c r="D160" s="277"/>
      <c r="E160" s="24">
        <f>VLOOKUP($A$2,'LEA Post-65 (2)'!$B:$EC,8,FALSE)/1000</f>
        <v>0</v>
      </c>
      <c r="F160" s="24"/>
      <c r="G160" s="24"/>
      <c r="H160" s="24"/>
      <c r="I160" s="24"/>
      <c r="J160" s="37"/>
      <c r="L160" s="4" t="s">
        <v>129</v>
      </c>
      <c r="M160" s="361" t="s">
        <v>503</v>
      </c>
    </row>
    <row r="161" spans="1:13">
      <c r="A161" s="3"/>
      <c r="J161" s="37"/>
      <c r="L161" s="4"/>
      <c r="M161" s="362"/>
    </row>
    <row r="162" spans="1:13" ht="66" customHeight="1">
      <c r="A162" s="10" t="s">
        <v>130</v>
      </c>
      <c r="E162" s="34" t="s">
        <v>440</v>
      </c>
      <c r="F162" s="34"/>
      <c r="G162" s="34"/>
      <c r="H162" s="34"/>
      <c r="I162" s="34"/>
      <c r="J162" s="37"/>
      <c r="L162" s="4" t="s">
        <v>131</v>
      </c>
      <c r="M162" s="361" t="s">
        <v>499</v>
      </c>
    </row>
    <row r="163" spans="1:13">
      <c r="A163" s="3"/>
      <c r="J163" s="37"/>
      <c r="L163" s="4"/>
      <c r="M163" s="362"/>
    </row>
    <row r="164" spans="1:13" ht="45" customHeight="1">
      <c r="A164" s="277" t="s">
        <v>132</v>
      </c>
      <c r="B164" s="269"/>
      <c r="C164" s="269"/>
      <c r="D164" s="269"/>
      <c r="E164" s="35">
        <v>0</v>
      </c>
      <c r="F164" s="35"/>
      <c r="G164" s="35"/>
      <c r="H164" s="35"/>
      <c r="I164" s="35"/>
      <c r="J164" s="37"/>
      <c r="L164" s="4" t="s">
        <v>133</v>
      </c>
      <c r="M164" s="358" t="s">
        <v>506</v>
      </c>
    </row>
    <row r="165" spans="1:13">
      <c r="A165" s="3"/>
      <c r="J165" s="37"/>
      <c r="L165" s="4"/>
      <c r="M165" s="362"/>
    </row>
    <row r="166" spans="1:13" ht="17.25" customHeight="1">
      <c r="A166" s="10" t="s">
        <v>134</v>
      </c>
      <c r="J166" s="37"/>
      <c r="M166" s="362"/>
    </row>
    <row r="167" spans="1:13">
      <c r="A167" s="10"/>
      <c r="J167" s="37"/>
      <c r="M167" s="362"/>
    </row>
    <row r="168" spans="1:13" ht="27.75" customHeight="1">
      <c r="A168" s="269" t="s">
        <v>135</v>
      </c>
      <c r="B168" s="269"/>
      <c r="C168" s="269"/>
      <c r="D168" s="269"/>
      <c r="E168" s="269"/>
      <c r="F168" s="269"/>
      <c r="G168" s="269"/>
      <c r="H168" s="269"/>
      <c r="I168" s="269"/>
      <c r="J168" s="37"/>
      <c r="L168" s="4">
        <v>171</v>
      </c>
      <c r="M168" s="361" t="s">
        <v>496</v>
      </c>
    </row>
    <row r="169" spans="1:13">
      <c r="A169" s="3"/>
      <c r="J169" s="37"/>
      <c r="L169" s="4"/>
      <c r="M169" s="361"/>
    </row>
    <row r="170" spans="1:13">
      <c r="A170" s="269" t="s">
        <v>136</v>
      </c>
      <c r="B170" s="269"/>
      <c r="C170" s="269"/>
      <c r="D170" s="269"/>
      <c r="E170" s="269"/>
      <c r="F170" s="269"/>
      <c r="G170" s="269"/>
      <c r="H170" s="269"/>
      <c r="I170" s="269"/>
      <c r="J170" s="37"/>
      <c r="L170" s="4"/>
      <c r="M170" s="361" t="s">
        <v>499</v>
      </c>
    </row>
    <row r="171" spans="1:13">
      <c r="A171" s="3"/>
      <c r="J171" s="37"/>
      <c r="L171" s="4"/>
      <c r="M171" s="361"/>
    </row>
    <row r="172" spans="1:13" ht="25.5" customHeight="1">
      <c r="A172" s="269" t="s">
        <v>137</v>
      </c>
      <c r="B172" s="269"/>
      <c r="C172" s="269"/>
      <c r="D172" s="269"/>
      <c r="E172" s="269"/>
      <c r="F172" s="269"/>
      <c r="G172" s="269"/>
      <c r="H172" s="269"/>
      <c r="I172" s="269"/>
      <c r="J172" s="37"/>
      <c r="L172" s="4"/>
      <c r="M172" s="361" t="s">
        <v>507</v>
      </c>
    </row>
    <row r="173" spans="1:13">
      <c r="A173" s="3"/>
      <c r="J173" s="37"/>
      <c r="L173" s="4"/>
    </row>
    <row r="174" spans="1:13">
      <c r="L174" s="4"/>
    </row>
    <row r="175" spans="1:13">
      <c r="L175" s="4"/>
    </row>
    <row r="176" spans="1:13">
      <c r="L176" s="4"/>
    </row>
    <row r="186" spans="13:13">
      <c r="M186" s="362"/>
    </row>
    <row r="187" spans="13:13">
      <c r="M187" s="358"/>
    </row>
    <row r="188" spans="13:13">
      <c r="M188" s="362"/>
    </row>
    <row r="189" spans="13:13">
      <c r="M189" s="358"/>
    </row>
    <row r="190" spans="13:13">
      <c r="M190" s="362"/>
    </row>
    <row r="191" spans="13:13">
      <c r="M191" s="362"/>
    </row>
    <row r="192" spans="13:13">
      <c r="M192" s="362"/>
    </row>
    <row r="193" spans="13:13">
      <c r="M193" s="358"/>
    </row>
    <row r="194" spans="13:13">
      <c r="M194" s="358"/>
    </row>
    <row r="195" spans="13:13">
      <c r="M195" s="358"/>
    </row>
    <row r="196" spans="13:13">
      <c r="M196" s="358"/>
    </row>
    <row r="197" spans="13:13">
      <c r="M197" s="358"/>
    </row>
  </sheetData>
  <mergeCells count="62">
    <mergeCell ref="A3:I3"/>
    <mergeCell ref="B12:I12"/>
    <mergeCell ref="B7:I7"/>
    <mergeCell ref="B10:I10"/>
    <mergeCell ref="B39:I39"/>
    <mergeCell ref="B15:I15"/>
    <mergeCell ref="B17:I17"/>
    <mergeCell ref="B19:I19"/>
    <mergeCell ref="B21:I21"/>
    <mergeCell ref="B23:I23"/>
    <mergeCell ref="B25:I25"/>
    <mergeCell ref="B27:I27"/>
    <mergeCell ref="B31:I31"/>
    <mergeCell ref="B33:I33"/>
    <mergeCell ref="B35:I35"/>
    <mergeCell ref="B37:I37"/>
    <mergeCell ref="E76:H76"/>
    <mergeCell ref="B42:I42"/>
    <mergeCell ref="B44:I44"/>
    <mergeCell ref="A50:I50"/>
    <mergeCell ref="A56:I56"/>
    <mergeCell ref="A58:I58"/>
    <mergeCell ref="A60:I60"/>
    <mergeCell ref="A63:E63"/>
    <mergeCell ref="A65:E65"/>
    <mergeCell ref="A67:E67"/>
    <mergeCell ref="A70:I70"/>
    <mergeCell ref="A74:I74"/>
    <mergeCell ref="A130:C130"/>
    <mergeCell ref="A118:I118"/>
    <mergeCell ref="E77:H77"/>
    <mergeCell ref="E78:H78"/>
    <mergeCell ref="A81:I81"/>
    <mergeCell ref="A83:I83"/>
    <mergeCell ref="A100:E100"/>
    <mergeCell ref="A102:E102"/>
    <mergeCell ref="A104:E104"/>
    <mergeCell ref="A106:I106"/>
    <mergeCell ref="A114:I114"/>
    <mergeCell ref="A116:I116"/>
    <mergeCell ref="H124:I124"/>
    <mergeCell ref="A125:C125"/>
    <mergeCell ref="A127:I127"/>
    <mergeCell ref="D129:E129"/>
    <mergeCell ref="F129:G129"/>
    <mergeCell ref="H129:I129"/>
    <mergeCell ref="A2:E2"/>
    <mergeCell ref="A87:C87"/>
    <mergeCell ref="A168:I168"/>
    <mergeCell ref="A170:I170"/>
    <mergeCell ref="A172:I172"/>
    <mergeCell ref="A142:I142"/>
    <mergeCell ref="A143:I143"/>
    <mergeCell ref="A144:I144"/>
    <mergeCell ref="A158:D158"/>
    <mergeCell ref="A160:D160"/>
    <mergeCell ref="A164:D164"/>
    <mergeCell ref="A134:I134"/>
    <mergeCell ref="A120:I120"/>
    <mergeCell ref="A122:I122"/>
    <mergeCell ref="D124:E124"/>
    <mergeCell ref="F124:G124"/>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14:formula1>
            <xm:f>'LEA Pre-65 (1)'!$B$5:$B$150</xm:f>
          </x14:formula1>
          <xm:sqref>A2</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Q158"/>
  <sheetViews>
    <sheetView workbookViewId="0">
      <selection activeCell="U1" sqref="U1:AK1"/>
    </sheetView>
  </sheetViews>
  <sheetFormatPr defaultRowHeight="15"/>
  <cols>
    <col min="1" max="1" width="3.42578125" style="52" customWidth="1"/>
    <col min="2" max="2" width="44.42578125" style="52" customWidth="1"/>
    <col min="3" max="5" width="10.85546875" style="52" customWidth="1"/>
    <col min="6" max="6" width="9.28515625" style="52" customWidth="1"/>
    <col min="7" max="8" width="14.28515625" style="52" customWidth="1"/>
    <col min="9" max="11" width="13" style="52" customWidth="1"/>
    <col min="12" max="13" width="13.7109375" style="52" customWidth="1"/>
    <col min="14" max="14" width="13.5703125" style="52" customWidth="1"/>
    <col min="15" max="15" width="15.140625" style="52" customWidth="1"/>
    <col min="16" max="17" width="12.7109375" style="52" customWidth="1"/>
    <col min="18" max="19" width="12.140625" style="52" customWidth="1"/>
    <col min="20" max="20" width="13.7109375" style="52" customWidth="1"/>
    <col min="21" max="21" width="13.42578125" style="52" customWidth="1"/>
    <col min="22" max="25" width="12.140625" style="52" customWidth="1"/>
    <col min="26" max="26" width="13" style="52" customWidth="1"/>
    <col min="27" max="33" width="12.140625" style="52" customWidth="1"/>
    <col min="34" max="34" width="13.42578125" style="52" customWidth="1"/>
    <col min="35" max="35" width="9.28515625" style="49" bestFit="1" customWidth="1"/>
    <col min="36" max="36" width="10.85546875" style="52" bestFit="1" customWidth="1"/>
    <col min="37" max="37" width="9.28515625" style="52" bestFit="1" customWidth="1"/>
    <col min="38" max="38" width="19.42578125" style="52" customWidth="1"/>
    <col min="39" max="16384" width="9.140625" style="52"/>
  </cols>
  <sheetData>
    <row r="1" spans="2:43">
      <c r="B1" s="47">
        <v>1</v>
      </c>
      <c r="C1" s="48">
        <v>2</v>
      </c>
      <c r="D1" s="47">
        <v>3</v>
      </c>
      <c r="E1" s="48">
        <v>4</v>
      </c>
      <c r="F1" s="47">
        <v>5</v>
      </c>
      <c r="G1" s="48">
        <v>6</v>
      </c>
      <c r="H1" s="47">
        <v>7</v>
      </c>
      <c r="I1" s="48">
        <v>8</v>
      </c>
      <c r="J1" s="47">
        <v>9</v>
      </c>
      <c r="K1" s="48">
        <v>10</v>
      </c>
      <c r="L1" s="47">
        <v>11</v>
      </c>
      <c r="M1" s="48">
        <v>12</v>
      </c>
      <c r="N1" s="47">
        <v>13</v>
      </c>
      <c r="O1" s="48">
        <v>14</v>
      </c>
      <c r="P1" s="47">
        <v>15</v>
      </c>
      <c r="Q1" s="48">
        <v>16</v>
      </c>
      <c r="R1" s="47">
        <v>17</v>
      </c>
      <c r="S1" s="48">
        <v>18</v>
      </c>
      <c r="T1" s="47">
        <v>19</v>
      </c>
      <c r="U1" s="48">
        <v>20</v>
      </c>
      <c r="V1" s="47">
        <v>21</v>
      </c>
      <c r="W1" s="48">
        <v>22</v>
      </c>
      <c r="X1" s="47">
        <v>23</v>
      </c>
      <c r="Y1" s="48">
        <v>24</v>
      </c>
      <c r="Z1" s="47">
        <v>25</v>
      </c>
      <c r="AA1" s="48">
        <v>26</v>
      </c>
      <c r="AB1" s="47">
        <v>27</v>
      </c>
      <c r="AC1" s="48">
        <v>28</v>
      </c>
      <c r="AD1" s="47">
        <v>29</v>
      </c>
      <c r="AE1" s="48">
        <v>30</v>
      </c>
      <c r="AF1" s="47">
        <v>31</v>
      </c>
      <c r="AG1" s="48">
        <v>32</v>
      </c>
      <c r="AH1" s="47">
        <v>33</v>
      </c>
      <c r="AI1" s="48">
        <v>34</v>
      </c>
      <c r="AJ1" s="47">
        <v>35</v>
      </c>
      <c r="AK1" s="48">
        <v>36</v>
      </c>
      <c r="AL1" s="50"/>
      <c r="AM1" s="51"/>
      <c r="AN1" s="51"/>
      <c r="AO1" s="50"/>
      <c r="AP1" s="49"/>
      <c r="AQ1" s="50"/>
    </row>
    <row r="2" spans="2:43" ht="24.75" customHeight="1">
      <c r="B2" s="286" t="s">
        <v>208</v>
      </c>
      <c r="C2" s="286"/>
      <c r="D2" s="286"/>
      <c r="E2" s="286"/>
      <c r="F2" s="286"/>
      <c r="G2" s="286"/>
      <c r="H2" s="286"/>
      <c r="I2" s="286"/>
      <c r="AK2" s="53"/>
    </row>
    <row r="3" spans="2:43">
      <c r="B3" s="54"/>
      <c r="C3" s="287" t="s">
        <v>209</v>
      </c>
      <c r="D3" s="288"/>
      <c r="E3" s="288"/>
      <c r="F3" s="289"/>
      <c r="G3" s="290" t="s">
        <v>210</v>
      </c>
      <c r="H3" s="290" t="s">
        <v>211</v>
      </c>
      <c r="I3" s="292" t="s">
        <v>212</v>
      </c>
      <c r="J3" s="55"/>
      <c r="K3" s="55"/>
      <c r="L3" s="294" t="s">
        <v>213</v>
      </c>
      <c r="M3" s="295"/>
      <c r="N3" s="295"/>
      <c r="O3" s="296"/>
      <c r="P3" s="297" t="s">
        <v>214</v>
      </c>
      <c r="Q3" s="298"/>
      <c r="R3" s="298"/>
      <c r="S3" s="298"/>
      <c r="T3" s="298"/>
      <c r="U3" s="299"/>
      <c r="V3" s="294" t="s">
        <v>215</v>
      </c>
      <c r="W3" s="295"/>
      <c r="X3" s="296"/>
      <c r="Y3" s="297" t="s">
        <v>216</v>
      </c>
      <c r="Z3" s="299"/>
      <c r="AA3" s="297" t="s">
        <v>217</v>
      </c>
      <c r="AB3" s="299"/>
      <c r="AC3" s="294" t="s">
        <v>218</v>
      </c>
      <c r="AD3" s="295"/>
      <c r="AE3" s="295"/>
      <c r="AF3" s="295"/>
      <c r="AG3" s="295"/>
      <c r="AH3" s="296"/>
      <c r="AI3" s="284" t="s">
        <v>219</v>
      </c>
    </row>
    <row r="4" spans="2:43" ht="71.25">
      <c r="B4" s="56" t="s">
        <v>220</v>
      </c>
      <c r="C4" s="57" t="s">
        <v>221</v>
      </c>
      <c r="D4" s="57" t="s">
        <v>222</v>
      </c>
      <c r="E4" s="57" t="s">
        <v>223</v>
      </c>
      <c r="F4" s="58" t="s">
        <v>224</v>
      </c>
      <c r="G4" s="291"/>
      <c r="H4" s="291"/>
      <c r="I4" s="293"/>
      <c r="J4" s="59" t="s">
        <v>225</v>
      </c>
      <c r="K4" s="59" t="s">
        <v>226</v>
      </c>
      <c r="L4" s="57" t="s">
        <v>227</v>
      </c>
      <c r="M4" s="57" t="s">
        <v>228</v>
      </c>
      <c r="N4" s="57" t="s">
        <v>229</v>
      </c>
      <c r="O4" s="57" t="s">
        <v>230</v>
      </c>
      <c r="P4" s="60" t="s">
        <v>231</v>
      </c>
      <c r="Q4" s="60" t="s">
        <v>117</v>
      </c>
      <c r="R4" s="60" t="s">
        <v>232</v>
      </c>
      <c r="S4" s="60" t="s">
        <v>233</v>
      </c>
      <c r="T4" s="60" t="s">
        <v>234</v>
      </c>
      <c r="U4" s="60" t="s">
        <v>235</v>
      </c>
      <c r="V4" s="58" t="s">
        <v>236</v>
      </c>
      <c r="W4" s="58" t="s">
        <v>424</v>
      </c>
      <c r="X4" s="58" t="s">
        <v>237</v>
      </c>
      <c r="Y4" s="60" t="s">
        <v>233</v>
      </c>
      <c r="Z4" s="60" t="s">
        <v>238</v>
      </c>
      <c r="AA4" s="60" t="s">
        <v>233</v>
      </c>
      <c r="AB4" s="60" t="s">
        <v>238</v>
      </c>
      <c r="AC4" s="58" t="s">
        <v>239</v>
      </c>
      <c r="AD4" s="58" t="s">
        <v>240</v>
      </c>
      <c r="AE4" s="58" t="s">
        <v>241</v>
      </c>
      <c r="AF4" s="58" t="s">
        <v>242</v>
      </c>
      <c r="AG4" s="58" t="s">
        <v>243</v>
      </c>
      <c r="AH4" s="58" t="s">
        <v>107</v>
      </c>
      <c r="AI4" s="285"/>
    </row>
    <row r="5" spans="2:43">
      <c r="B5" s="61" t="s">
        <v>244</v>
      </c>
      <c r="C5" s="62">
        <v>0</v>
      </c>
      <c r="D5" s="62">
        <v>0</v>
      </c>
      <c r="E5" s="62">
        <v>0</v>
      </c>
      <c r="F5" s="61">
        <v>0</v>
      </c>
      <c r="G5" s="62">
        <v>0</v>
      </c>
      <c r="H5" s="62">
        <v>0</v>
      </c>
      <c r="I5" s="62">
        <v>0</v>
      </c>
      <c r="J5" s="62">
        <v>0</v>
      </c>
      <c r="K5" s="62">
        <v>0</v>
      </c>
      <c r="L5" s="62">
        <v>0</v>
      </c>
      <c r="M5" s="62">
        <v>0</v>
      </c>
      <c r="N5" s="62">
        <v>0</v>
      </c>
      <c r="O5" s="62">
        <v>0</v>
      </c>
      <c r="P5" s="62">
        <v>0</v>
      </c>
      <c r="Q5" s="62">
        <v>0</v>
      </c>
      <c r="R5" s="62">
        <v>0</v>
      </c>
      <c r="S5" s="62">
        <v>0</v>
      </c>
      <c r="T5" s="62">
        <v>0</v>
      </c>
      <c r="U5" s="62">
        <v>0</v>
      </c>
      <c r="V5" s="62">
        <v>0</v>
      </c>
      <c r="W5" s="62"/>
      <c r="X5" s="62">
        <v>0</v>
      </c>
      <c r="Y5" s="62">
        <v>0</v>
      </c>
      <c r="Z5" s="62">
        <v>0</v>
      </c>
      <c r="AA5" s="62">
        <v>0</v>
      </c>
      <c r="AB5" s="62">
        <v>0</v>
      </c>
      <c r="AC5" s="62">
        <v>0</v>
      </c>
      <c r="AD5" s="62">
        <v>0</v>
      </c>
      <c r="AE5" s="62">
        <v>0</v>
      </c>
      <c r="AF5" s="62">
        <v>0</v>
      </c>
      <c r="AG5" s="62">
        <v>0</v>
      </c>
      <c r="AH5" s="62">
        <v>0</v>
      </c>
      <c r="AI5" s="63">
        <v>1</v>
      </c>
      <c r="AL5" s="64"/>
    </row>
    <row r="6" spans="2:43">
      <c r="B6" s="61" t="s">
        <v>245</v>
      </c>
      <c r="C6" s="62">
        <v>6</v>
      </c>
      <c r="D6" s="62">
        <v>0</v>
      </c>
      <c r="E6" s="62">
        <v>67</v>
      </c>
      <c r="F6" s="61">
        <v>69</v>
      </c>
      <c r="G6" s="62">
        <v>522318</v>
      </c>
      <c r="H6" s="62">
        <v>558158</v>
      </c>
      <c r="I6" s="62">
        <v>46861</v>
      </c>
      <c r="J6" s="62">
        <v>53420</v>
      </c>
      <c r="K6" s="62">
        <v>-25195</v>
      </c>
      <c r="L6" s="62">
        <v>566200</v>
      </c>
      <c r="M6" s="62">
        <v>481674</v>
      </c>
      <c r="N6" s="62">
        <v>457077</v>
      </c>
      <c r="O6" s="62">
        <v>603173</v>
      </c>
      <c r="P6" s="62">
        <v>33009</v>
      </c>
      <c r="Q6" s="62">
        <v>16423</v>
      </c>
      <c r="R6" s="62">
        <v>0</v>
      </c>
      <c r="S6" s="62">
        <v>0</v>
      </c>
      <c r="T6" s="62">
        <v>-27766</v>
      </c>
      <c r="U6" s="62">
        <v>-57506</v>
      </c>
      <c r="V6" s="62">
        <v>0</v>
      </c>
      <c r="W6" s="62"/>
      <c r="X6" s="62">
        <v>-2571</v>
      </c>
      <c r="Y6" s="62">
        <v>0</v>
      </c>
      <c r="Z6" s="62">
        <v>25195</v>
      </c>
      <c r="AA6" s="62">
        <v>0</v>
      </c>
      <c r="AB6" s="62">
        <v>0</v>
      </c>
      <c r="AC6" s="62">
        <v>-2571</v>
      </c>
      <c r="AD6" s="62">
        <v>-2571</v>
      </c>
      <c r="AE6" s="62">
        <v>-2571</v>
      </c>
      <c r="AF6" s="62">
        <v>-2571</v>
      </c>
      <c r="AG6" s="62">
        <v>-2571</v>
      </c>
      <c r="AH6" s="62">
        <v>-12340</v>
      </c>
      <c r="AI6" s="63">
        <v>10.8</v>
      </c>
      <c r="AL6" s="64"/>
    </row>
    <row r="7" spans="2:43">
      <c r="B7" s="61" t="s">
        <v>246</v>
      </c>
      <c r="C7" s="62">
        <v>22</v>
      </c>
      <c r="D7" s="62">
        <v>0</v>
      </c>
      <c r="E7" s="62">
        <v>202</v>
      </c>
      <c r="F7" s="61">
        <v>204</v>
      </c>
      <c r="G7" s="62">
        <v>6233201</v>
      </c>
      <c r="H7" s="62">
        <v>6248997</v>
      </c>
      <c r="I7" s="62">
        <v>519402</v>
      </c>
      <c r="J7" s="62">
        <v>294894</v>
      </c>
      <c r="K7" s="62">
        <v>-264392</v>
      </c>
      <c r="L7" s="62">
        <v>6694400</v>
      </c>
      <c r="M7" s="62">
        <v>5792716</v>
      </c>
      <c r="N7" s="62">
        <v>5506325</v>
      </c>
      <c r="O7" s="62">
        <v>7095617</v>
      </c>
      <c r="P7" s="62">
        <v>359136</v>
      </c>
      <c r="Q7" s="62">
        <v>189004</v>
      </c>
      <c r="R7" s="62">
        <v>0</v>
      </c>
      <c r="S7" s="62">
        <v>0</v>
      </c>
      <c r="T7" s="62">
        <v>-293130</v>
      </c>
      <c r="U7" s="62">
        <v>-270806</v>
      </c>
      <c r="V7" s="62">
        <v>0</v>
      </c>
      <c r="W7" s="62"/>
      <c r="X7" s="62">
        <v>-28738</v>
      </c>
      <c r="Y7" s="62">
        <v>0</v>
      </c>
      <c r="Z7" s="62">
        <v>264392</v>
      </c>
      <c r="AA7" s="62">
        <v>0</v>
      </c>
      <c r="AB7" s="62">
        <v>0</v>
      </c>
      <c r="AC7" s="62">
        <v>-28738</v>
      </c>
      <c r="AD7" s="62">
        <v>-28738</v>
      </c>
      <c r="AE7" s="62">
        <v>-28738</v>
      </c>
      <c r="AF7" s="62">
        <v>-28738</v>
      </c>
      <c r="AG7" s="62">
        <v>-28738</v>
      </c>
      <c r="AH7" s="62">
        <v>-120702</v>
      </c>
      <c r="AI7" s="63">
        <v>10.199999999999999</v>
      </c>
      <c r="AL7" s="64"/>
    </row>
    <row r="8" spans="2:43">
      <c r="B8" s="61" t="s">
        <v>247</v>
      </c>
      <c r="C8" s="62">
        <v>58</v>
      </c>
      <c r="D8" s="62">
        <v>0</v>
      </c>
      <c r="E8" s="62">
        <v>771</v>
      </c>
      <c r="F8" s="61">
        <v>797</v>
      </c>
      <c r="G8" s="62">
        <v>7118304</v>
      </c>
      <c r="H8" s="62">
        <v>7366981</v>
      </c>
      <c r="I8" s="62">
        <v>589552</v>
      </c>
      <c r="J8" s="62">
        <v>572144</v>
      </c>
      <c r="K8" s="62">
        <v>-294898</v>
      </c>
      <c r="L8" s="62">
        <v>7632438</v>
      </c>
      <c r="M8" s="62">
        <v>6632653</v>
      </c>
      <c r="N8" s="62">
        <v>6346682</v>
      </c>
      <c r="O8" s="62">
        <v>8042613</v>
      </c>
      <c r="P8" s="62">
        <v>401367</v>
      </c>
      <c r="Q8" s="62">
        <v>218903</v>
      </c>
      <c r="R8" s="62">
        <v>0</v>
      </c>
      <c r="S8" s="62">
        <v>0</v>
      </c>
      <c r="T8" s="62">
        <v>-325616</v>
      </c>
      <c r="U8" s="62">
        <v>-543331</v>
      </c>
      <c r="V8" s="62">
        <v>0</v>
      </c>
      <c r="W8" s="62"/>
      <c r="X8" s="62">
        <v>-30718</v>
      </c>
      <c r="Y8" s="62">
        <v>0</v>
      </c>
      <c r="Z8" s="62">
        <v>294898</v>
      </c>
      <c r="AA8" s="62">
        <v>0</v>
      </c>
      <c r="AB8" s="62">
        <v>0</v>
      </c>
      <c r="AC8" s="62">
        <v>-30718</v>
      </c>
      <c r="AD8" s="62">
        <v>-30718</v>
      </c>
      <c r="AE8" s="62">
        <v>-30718</v>
      </c>
      <c r="AF8" s="62">
        <v>-30718</v>
      </c>
      <c r="AG8" s="62">
        <v>-30718</v>
      </c>
      <c r="AH8" s="62">
        <v>-141308</v>
      </c>
      <c r="AI8" s="63">
        <v>10.6</v>
      </c>
      <c r="AL8" s="65"/>
    </row>
    <row r="9" spans="2:43">
      <c r="B9" s="61" t="s">
        <v>248</v>
      </c>
      <c r="C9" s="62">
        <v>19</v>
      </c>
      <c r="D9" s="62">
        <v>0</v>
      </c>
      <c r="E9" s="62">
        <v>190</v>
      </c>
      <c r="F9" s="61">
        <v>197</v>
      </c>
      <c r="G9" s="62">
        <v>2637900</v>
      </c>
      <c r="H9" s="62">
        <v>2717511</v>
      </c>
      <c r="I9" s="62">
        <v>219623</v>
      </c>
      <c r="J9" s="62">
        <v>196195</v>
      </c>
      <c r="K9" s="62">
        <v>-112051</v>
      </c>
      <c r="L9" s="62">
        <v>2833417</v>
      </c>
      <c r="M9" s="62">
        <v>2452976</v>
      </c>
      <c r="N9" s="62">
        <v>2342607</v>
      </c>
      <c r="O9" s="62">
        <v>2992801</v>
      </c>
      <c r="P9" s="62">
        <v>150653</v>
      </c>
      <c r="Q9" s="62">
        <v>81018</v>
      </c>
      <c r="R9" s="62">
        <v>0</v>
      </c>
      <c r="S9" s="62">
        <v>0</v>
      </c>
      <c r="T9" s="62">
        <v>-124099</v>
      </c>
      <c r="U9" s="62">
        <v>-187183</v>
      </c>
      <c r="V9" s="62">
        <v>0</v>
      </c>
      <c r="W9" s="62"/>
      <c r="X9" s="62">
        <v>-12048</v>
      </c>
      <c r="Y9" s="62">
        <v>0</v>
      </c>
      <c r="Z9" s="62">
        <v>112051</v>
      </c>
      <c r="AA9" s="62">
        <v>0</v>
      </c>
      <c r="AB9" s="62">
        <v>0</v>
      </c>
      <c r="AC9" s="62">
        <v>-12048</v>
      </c>
      <c r="AD9" s="62">
        <v>-12048</v>
      </c>
      <c r="AE9" s="62">
        <v>-12048</v>
      </c>
      <c r="AF9" s="62">
        <v>-12048</v>
      </c>
      <c r="AG9" s="62">
        <v>-12048</v>
      </c>
      <c r="AH9" s="62">
        <v>-51811</v>
      </c>
      <c r="AI9" s="63">
        <v>10.3</v>
      </c>
      <c r="AL9" s="66"/>
    </row>
    <row r="10" spans="2:43">
      <c r="B10" s="61" t="s">
        <v>249</v>
      </c>
      <c r="C10" s="62">
        <v>31</v>
      </c>
      <c r="D10" s="62">
        <v>0</v>
      </c>
      <c r="E10" s="62">
        <v>810</v>
      </c>
      <c r="F10" s="61">
        <v>872</v>
      </c>
      <c r="G10" s="62">
        <v>7990972</v>
      </c>
      <c r="H10" s="62">
        <v>7909328</v>
      </c>
      <c r="I10" s="62">
        <v>717605</v>
      </c>
      <c r="J10" s="62">
        <v>292668</v>
      </c>
      <c r="K10" s="62">
        <v>-369123</v>
      </c>
      <c r="L10" s="62">
        <v>8631433</v>
      </c>
      <c r="M10" s="62">
        <v>7384372</v>
      </c>
      <c r="N10" s="62">
        <v>6997619</v>
      </c>
      <c r="O10" s="62">
        <v>9179676</v>
      </c>
      <c r="P10" s="62">
        <v>513228</v>
      </c>
      <c r="Q10" s="62">
        <v>242043</v>
      </c>
      <c r="R10" s="62">
        <v>0</v>
      </c>
      <c r="S10" s="62">
        <v>0</v>
      </c>
      <c r="T10" s="62">
        <v>-406789</v>
      </c>
      <c r="U10" s="62">
        <v>-266838</v>
      </c>
      <c r="V10" s="62">
        <v>0</v>
      </c>
      <c r="W10" s="62"/>
      <c r="X10" s="62">
        <v>-37666</v>
      </c>
      <c r="Y10" s="62">
        <v>0</v>
      </c>
      <c r="Z10" s="62">
        <v>369123</v>
      </c>
      <c r="AA10" s="62">
        <v>0</v>
      </c>
      <c r="AB10" s="62">
        <v>0</v>
      </c>
      <c r="AC10" s="62">
        <v>-37666</v>
      </c>
      <c r="AD10" s="62">
        <v>-37666</v>
      </c>
      <c r="AE10" s="62">
        <v>-37666</v>
      </c>
      <c r="AF10" s="62">
        <v>-37666</v>
      </c>
      <c r="AG10" s="62">
        <v>-37666</v>
      </c>
      <c r="AH10" s="62">
        <v>-180793</v>
      </c>
      <c r="AI10" s="63">
        <v>10.8</v>
      </c>
      <c r="AL10" s="66"/>
    </row>
    <row r="11" spans="2:43">
      <c r="B11" s="61" t="s">
        <v>250</v>
      </c>
      <c r="C11" s="62">
        <v>4</v>
      </c>
      <c r="D11" s="62">
        <v>0</v>
      </c>
      <c r="E11" s="62">
        <v>53</v>
      </c>
      <c r="F11" s="61">
        <v>54</v>
      </c>
      <c r="G11" s="62">
        <v>622051</v>
      </c>
      <c r="H11" s="62">
        <v>633894</v>
      </c>
      <c r="I11" s="62">
        <v>41006</v>
      </c>
      <c r="J11" s="62">
        <v>27906</v>
      </c>
      <c r="K11" s="62">
        <v>-25656</v>
      </c>
      <c r="L11" s="62">
        <v>666843</v>
      </c>
      <c r="M11" s="62">
        <v>580407</v>
      </c>
      <c r="N11" s="62">
        <v>561985</v>
      </c>
      <c r="O11" s="62">
        <v>692123</v>
      </c>
      <c r="P11" s="62">
        <v>24788</v>
      </c>
      <c r="Q11" s="62">
        <v>18836</v>
      </c>
      <c r="R11" s="62">
        <v>0</v>
      </c>
      <c r="S11" s="62">
        <v>0</v>
      </c>
      <c r="T11" s="62">
        <v>-28274</v>
      </c>
      <c r="U11" s="62">
        <v>-27193</v>
      </c>
      <c r="V11" s="62">
        <v>0</v>
      </c>
      <c r="W11" s="62"/>
      <c r="X11" s="62">
        <v>-2618</v>
      </c>
      <c r="Y11" s="62">
        <v>0</v>
      </c>
      <c r="Z11" s="62">
        <v>25656</v>
      </c>
      <c r="AA11" s="62">
        <v>0</v>
      </c>
      <c r="AB11" s="62">
        <v>0</v>
      </c>
      <c r="AC11" s="62">
        <v>-2618</v>
      </c>
      <c r="AD11" s="62">
        <v>-2618</v>
      </c>
      <c r="AE11" s="62">
        <v>-2618</v>
      </c>
      <c r="AF11" s="62">
        <v>-2618</v>
      </c>
      <c r="AG11" s="62">
        <v>-2618</v>
      </c>
      <c r="AH11" s="62">
        <v>-12566</v>
      </c>
      <c r="AI11" s="63">
        <v>10.8</v>
      </c>
      <c r="AL11" s="66"/>
    </row>
    <row r="12" spans="2:43">
      <c r="B12" s="61" t="s">
        <v>251</v>
      </c>
      <c r="C12" s="62">
        <v>9</v>
      </c>
      <c r="D12" s="62">
        <v>0</v>
      </c>
      <c r="E12" s="62">
        <v>293</v>
      </c>
      <c r="F12" s="61">
        <v>313</v>
      </c>
      <c r="G12" s="62">
        <v>2643616</v>
      </c>
      <c r="H12" s="62">
        <v>2581966</v>
      </c>
      <c r="I12" s="62">
        <v>248110</v>
      </c>
      <c r="J12" s="62">
        <v>88919</v>
      </c>
      <c r="K12" s="62">
        <v>-117795</v>
      </c>
      <c r="L12" s="62">
        <v>2848565</v>
      </c>
      <c r="M12" s="62">
        <v>2446893</v>
      </c>
      <c r="N12" s="62">
        <v>2310343</v>
      </c>
      <c r="O12" s="62">
        <v>3039832</v>
      </c>
      <c r="P12" s="62">
        <v>181097</v>
      </c>
      <c r="Q12" s="62">
        <v>79679</v>
      </c>
      <c r="R12" s="62">
        <v>0</v>
      </c>
      <c r="S12" s="62">
        <v>0</v>
      </c>
      <c r="T12" s="62">
        <v>-130461</v>
      </c>
      <c r="U12" s="62">
        <v>-68665</v>
      </c>
      <c r="V12" s="62">
        <v>0</v>
      </c>
      <c r="W12" s="62"/>
      <c r="X12" s="62">
        <v>-12666</v>
      </c>
      <c r="Y12" s="62">
        <v>0</v>
      </c>
      <c r="Z12" s="62">
        <v>117795</v>
      </c>
      <c r="AA12" s="62">
        <v>0</v>
      </c>
      <c r="AB12" s="62">
        <v>0</v>
      </c>
      <c r="AC12" s="62">
        <v>-12666</v>
      </c>
      <c r="AD12" s="62">
        <v>-12666</v>
      </c>
      <c r="AE12" s="62">
        <v>-12666</v>
      </c>
      <c r="AF12" s="62">
        <v>-12666</v>
      </c>
      <c r="AG12" s="62">
        <v>-12666</v>
      </c>
      <c r="AH12" s="62">
        <v>-54465</v>
      </c>
      <c r="AI12" s="63">
        <v>10.3</v>
      </c>
      <c r="AL12" s="64"/>
    </row>
    <row r="13" spans="2:43">
      <c r="B13" s="61" t="s">
        <v>252</v>
      </c>
      <c r="C13" s="62">
        <v>10</v>
      </c>
      <c r="D13" s="62">
        <v>0</v>
      </c>
      <c r="E13" s="62">
        <v>232</v>
      </c>
      <c r="F13" s="61">
        <v>242</v>
      </c>
      <c r="G13" s="62">
        <v>2110644</v>
      </c>
      <c r="H13" s="62">
        <v>2103165</v>
      </c>
      <c r="I13" s="62">
        <v>170495</v>
      </c>
      <c r="J13" s="62">
        <v>84561</v>
      </c>
      <c r="K13" s="62">
        <v>-92718</v>
      </c>
      <c r="L13" s="62">
        <v>2273603</v>
      </c>
      <c r="M13" s="62">
        <v>1956399</v>
      </c>
      <c r="N13" s="62">
        <v>1866816</v>
      </c>
      <c r="O13" s="62">
        <v>2399247</v>
      </c>
      <c r="P13" s="62">
        <v>117222</v>
      </c>
      <c r="Q13" s="62">
        <v>63809</v>
      </c>
      <c r="R13" s="62">
        <v>0</v>
      </c>
      <c r="S13" s="62">
        <v>0</v>
      </c>
      <c r="T13" s="62">
        <v>-103254</v>
      </c>
      <c r="U13" s="62">
        <v>-70298</v>
      </c>
      <c r="V13" s="62">
        <v>0</v>
      </c>
      <c r="W13" s="62"/>
      <c r="X13" s="62">
        <v>-10536</v>
      </c>
      <c r="Y13" s="62">
        <v>0</v>
      </c>
      <c r="Z13" s="62">
        <v>92718</v>
      </c>
      <c r="AA13" s="62">
        <v>0</v>
      </c>
      <c r="AB13" s="62">
        <v>0</v>
      </c>
      <c r="AC13" s="62">
        <v>-10536</v>
      </c>
      <c r="AD13" s="62">
        <v>-10536</v>
      </c>
      <c r="AE13" s="62">
        <v>-10536</v>
      </c>
      <c r="AF13" s="62">
        <v>-10536</v>
      </c>
      <c r="AG13" s="62">
        <v>-10536</v>
      </c>
      <c r="AH13" s="62">
        <v>-40038</v>
      </c>
      <c r="AI13" s="63">
        <v>9.8000000000000007</v>
      </c>
      <c r="AL13" s="64"/>
    </row>
    <row r="14" spans="2:43">
      <c r="B14" s="61" t="s">
        <v>253</v>
      </c>
      <c r="C14" s="62">
        <v>3</v>
      </c>
      <c r="D14" s="62">
        <v>0</v>
      </c>
      <c r="E14" s="62">
        <v>71</v>
      </c>
      <c r="F14" s="61">
        <v>73</v>
      </c>
      <c r="G14" s="62">
        <v>610495</v>
      </c>
      <c r="H14" s="62">
        <v>611302</v>
      </c>
      <c r="I14" s="62">
        <v>55787</v>
      </c>
      <c r="J14" s="62">
        <v>24890</v>
      </c>
      <c r="K14" s="62">
        <v>-31435</v>
      </c>
      <c r="L14" s="62">
        <v>665156</v>
      </c>
      <c r="M14" s="62">
        <v>558673</v>
      </c>
      <c r="N14" s="62">
        <v>524874</v>
      </c>
      <c r="O14" s="62">
        <v>714391</v>
      </c>
      <c r="P14" s="62">
        <v>40335</v>
      </c>
      <c r="Q14" s="62">
        <v>18660</v>
      </c>
      <c r="R14" s="62">
        <v>0</v>
      </c>
      <c r="S14" s="62">
        <v>0</v>
      </c>
      <c r="T14" s="62">
        <v>-34643</v>
      </c>
      <c r="U14" s="62">
        <v>-25159</v>
      </c>
      <c r="V14" s="62">
        <v>0</v>
      </c>
      <c r="W14" s="62"/>
      <c r="X14" s="62">
        <v>-3208</v>
      </c>
      <c r="Y14" s="62">
        <v>0</v>
      </c>
      <c r="Z14" s="62">
        <v>31435</v>
      </c>
      <c r="AA14" s="62">
        <v>0</v>
      </c>
      <c r="AB14" s="62">
        <v>0</v>
      </c>
      <c r="AC14" s="62">
        <v>-3208</v>
      </c>
      <c r="AD14" s="62">
        <v>-3208</v>
      </c>
      <c r="AE14" s="62">
        <v>-3208</v>
      </c>
      <c r="AF14" s="62">
        <v>-3208</v>
      </c>
      <c r="AG14" s="62">
        <v>-3208</v>
      </c>
      <c r="AH14" s="62">
        <v>-15395</v>
      </c>
      <c r="AI14" s="63">
        <v>10.8</v>
      </c>
      <c r="AL14" s="64"/>
    </row>
    <row r="15" spans="2:43">
      <c r="B15" s="61" t="s">
        <v>254</v>
      </c>
      <c r="C15" s="62">
        <v>64</v>
      </c>
      <c r="D15" s="62">
        <v>0</v>
      </c>
      <c r="E15" s="62">
        <v>892</v>
      </c>
      <c r="F15" s="61">
        <v>929</v>
      </c>
      <c r="G15" s="62">
        <v>19377361</v>
      </c>
      <c r="H15" s="62">
        <v>19173855</v>
      </c>
      <c r="I15" s="62">
        <v>1723864</v>
      </c>
      <c r="J15" s="62">
        <v>770720</v>
      </c>
      <c r="K15" s="62">
        <v>-854233</v>
      </c>
      <c r="L15" s="62">
        <v>20861391</v>
      </c>
      <c r="M15" s="62">
        <v>17963330</v>
      </c>
      <c r="N15" s="62">
        <v>17049904</v>
      </c>
      <c r="O15" s="62">
        <v>22152137</v>
      </c>
      <c r="P15" s="62">
        <v>1225979</v>
      </c>
      <c r="Q15" s="62">
        <v>585950</v>
      </c>
      <c r="R15" s="62">
        <v>0</v>
      </c>
      <c r="S15" s="62">
        <v>0</v>
      </c>
      <c r="T15" s="62">
        <v>-942298</v>
      </c>
      <c r="U15" s="62">
        <v>-666125</v>
      </c>
      <c r="V15" s="62">
        <v>0</v>
      </c>
      <c r="W15" s="62"/>
      <c r="X15" s="62">
        <v>-88065</v>
      </c>
      <c r="Y15" s="62">
        <v>0</v>
      </c>
      <c r="Z15" s="62">
        <v>854233</v>
      </c>
      <c r="AA15" s="62">
        <v>0</v>
      </c>
      <c r="AB15" s="62">
        <v>0</v>
      </c>
      <c r="AC15" s="62">
        <v>-88065</v>
      </c>
      <c r="AD15" s="62">
        <v>-88065</v>
      </c>
      <c r="AE15" s="62">
        <v>-88065</v>
      </c>
      <c r="AF15" s="62">
        <v>-88065</v>
      </c>
      <c r="AG15" s="62">
        <v>-88065</v>
      </c>
      <c r="AH15" s="62">
        <v>-413908</v>
      </c>
      <c r="AI15" s="63">
        <v>10.7</v>
      </c>
      <c r="AL15" s="64"/>
    </row>
    <row r="16" spans="2:43">
      <c r="B16" s="61" t="s">
        <v>255</v>
      </c>
      <c r="C16" s="62">
        <v>47</v>
      </c>
      <c r="D16" s="62">
        <v>0</v>
      </c>
      <c r="E16" s="62">
        <v>355</v>
      </c>
      <c r="F16" s="61">
        <v>358</v>
      </c>
      <c r="G16" s="62">
        <v>7291007</v>
      </c>
      <c r="H16" s="62">
        <v>7376865</v>
      </c>
      <c r="I16" s="62">
        <v>613968</v>
      </c>
      <c r="J16" s="62">
        <v>401336</v>
      </c>
      <c r="K16" s="62">
        <v>-323387</v>
      </c>
      <c r="L16" s="62">
        <v>7854872</v>
      </c>
      <c r="M16" s="62">
        <v>6755874</v>
      </c>
      <c r="N16" s="62">
        <v>6426752</v>
      </c>
      <c r="O16" s="62">
        <v>8322598</v>
      </c>
      <c r="P16" s="62">
        <v>426382</v>
      </c>
      <c r="Q16" s="62">
        <v>222359</v>
      </c>
      <c r="R16" s="62">
        <v>0</v>
      </c>
      <c r="S16" s="62">
        <v>0</v>
      </c>
      <c r="T16" s="62">
        <v>-358160</v>
      </c>
      <c r="U16" s="62">
        <v>-376439</v>
      </c>
      <c r="V16" s="62">
        <v>0</v>
      </c>
      <c r="W16" s="62"/>
      <c r="X16" s="62">
        <v>-34773</v>
      </c>
      <c r="Y16" s="62">
        <v>0</v>
      </c>
      <c r="Z16" s="62">
        <v>323387</v>
      </c>
      <c r="AA16" s="62">
        <v>0</v>
      </c>
      <c r="AB16" s="62">
        <v>0</v>
      </c>
      <c r="AC16" s="62">
        <v>-34773</v>
      </c>
      <c r="AD16" s="62">
        <v>-34773</v>
      </c>
      <c r="AE16" s="62">
        <v>-34773</v>
      </c>
      <c r="AF16" s="62">
        <v>-34773</v>
      </c>
      <c r="AG16" s="62">
        <v>-34773</v>
      </c>
      <c r="AH16" s="62">
        <v>-149522</v>
      </c>
      <c r="AI16" s="63">
        <v>10.3</v>
      </c>
      <c r="AL16" s="64"/>
    </row>
    <row r="17" spans="2:38">
      <c r="B17" s="61" t="s">
        <v>256</v>
      </c>
      <c r="C17" s="62">
        <v>73</v>
      </c>
      <c r="D17" s="62">
        <v>0</v>
      </c>
      <c r="E17" s="62">
        <v>391</v>
      </c>
      <c r="F17" s="61">
        <v>413</v>
      </c>
      <c r="G17" s="62">
        <v>11429103</v>
      </c>
      <c r="H17" s="62">
        <v>11744907</v>
      </c>
      <c r="I17" s="62">
        <v>811486</v>
      </c>
      <c r="J17" s="62">
        <v>778490</v>
      </c>
      <c r="K17" s="62">
        <v>-427016</v>
      </c>
      <c r="L17" s="62">
        <v>12186204</v>
      </c>
      <c r="M17" s="62">
        <v>10713659</v>
      </c>
      <c r="N17" s="62">
        <v>10329210</v>
      </c>
      <c r="O17" s="62">
        <v>12720153</v>
      </c>
      <c r="P17" s="62">
        <v>516398</v>
      </c>
      <c r="Q17" s="62">
        <v>347806</v>
      </c>
      <c r="R17" s="62">
        <v>0</v>
      </c>
      <c r="S17" s="62">
        <v>0</v>
      </c>
      <c r="T17" s="62">
        <v>-479734</v>
      </c>
      <c r="U17" s="62">
        <v>-700274</v>
      </c>
      <c r="V17" s="62">
        <v>0</v>
      </c>
      <c r="W17" s="62"/>
      <c r="X17" s="62">
        <v>-52718</v>
      </c>
      <c r="Y17" s="62">
        <v>0</v>
      </c>
      <c r="Z17" s="62">
        <v>427016</v>
      </c>
      <c r="AA17" s="62">
        <v>0</v>
      </c>
      <c r="AB17" s="62">
        <v>0</v>
      </c>
      <c r="AC17" s="62">
        <v>-52718</v>
      </c>
      <c r="AD17" s="62">
        <v>-52718</v>
      </c>
      <c r="AE17" s="62">
        <v>-52718</v>
      </c>
      <c r="AF17" s="62">
        <v>-52718</v>
      </c>
      <c r="AG17" s="62">
        <v>-52718</v>
      </c>
      <c r="AH17" s="62">
        <v>-163426</v>
      </c>
      <c r="AI17" s="63">
        <v>9.1</v>
      </c>
      <c r="AL17" s="64"/>
    </row>
    <row r="18" spans="2:38">
      <c r="B18" s="61" t="s">
        <v>257</v>
      </c>
      <c r="C18" s="62">
        <v>6</v>
      </c>
      <c r="D18" s="62">
        <v>0</v>
      </c>
      <c r="E18" s="62">
        <v>191</v>
      </c>
      <c r="F18" s="61">
        <v>206</v>
      </c>
      <c r="G18" s="62">
        <v>1935211</v>
      </c>
      <c r="H18" s="62">
        <v>1901062</v>
      </c>
      <c r="I18" s="62">
        <v>175141</v>
      </c>
      <c r="J18" s="62">
        <v>69443</v>
      </c>
      <c r="K18" s="62">
        <v>-85749</v>
      </c>
      <c r="L18" s="62">
        <v>2084828</v>
      </c>
      <c r="M18" s="62">
        <v>1791791</v>
      </c>
      <c r="N18" s="62">
        <v>1691672</v>
      </c>
      <c r="O18" s="62">
        <v>2225522</v>
      </c>
      <c r="P18" s="62">
        <v>126075</v>
      </c>
      <c r="Q18" s="62">
        <v>58386</v>
      </c>
      <c r="R18" s="62">
        <v>0</v>
      </c>
      <c r="S18" s="62">
        <v>0</v>
      </c>
      <c r="T18" s="62">
        <v>-95069</v>
      </c>
      <c r="U18" s="62">
        <v>-55243</v>
      </c>
      <c r="V18" s="62">
        <v>0</v>
      </c>
      <c r="W18" s="62"/>
      <c r="X18" s="62">
        <v>-9320</v>
      </c>
      <c r="Y18" s="62">
        <v>0</v>
      </c>
      <c r="Z18" s="62">
        <v>85749</v>
      </c>
      <c r="AA18" s="62">
        <v>0</v>
      </c>
      <c r="AB18" s="62">
        <v>0</v>
      </c>
      <c r="AC18" s="62">
        <v>-9320</v>
      </c>
      <c r="AD18" s="62">
        <v>-9320</v>
      </c>
      <c r="AE18" s="62">
        <v>-9320</v>
      </c>
      <c r="AF18" s="62">
        <v>-9320</v>
      </c>
      <c r="AG18" s="62">
        <v>-9320</v>
      </c>
      <c r="AH18" s="62">
        <v>-39149</v>
      </c>
      <c r="AI18" s="63">
        <v>10.199999999999999</v>
      </c>
      <c r="AL18" s="64"/>
    </row>
    <row r="19" spans="2:38">
      <c r="B19" s="61" t="s">
        <v>258</v>
      </c>
      <c r="C19" s="62">
        <v>1</v>
      </c>
      <c r="D19" s="62">
        <v>0</v>
      </c>
      <c r="E19" s="62">
        <v>32</v>
      </c>
      <c r="F19" s="61">
        <v>35</v>
      </c>
      <c r="G19" s="62">
        <v>195300</v>
      </c>
      <c r="H19" s="62">
        <v>190456</v>
      </c>
      <c r="I19" s="62">
        <v>20888</v>
      </c>
      <c r="J19" s="62">
        <v>10998</v>
      </c>
      <c r="K19" s="62">
        <v>-7992</v>
      </c>
      <c r="L19" s="62">
        <v>209173</v>
      </c>
      <c r="M19" s="62">
        <v>181990</v>
      </c>
      <c r="N19" s="62">
        <v>171516</v>
      </c>
      <c r="O19" s="62">
        <v>223847</v>
      </c>
      <c r="P19" s="62">
        <v>15832</v>
      </c>
      <c r="Q19" s="62">
        <v>5906</v>
      </c>
      <c r="R19" s="62">
        <v>0</v>
      </c>
      <c r="S19" s="62">
        <v>0</v>
      </c>
      <c r="T19" s="62">
        <v>-8842</v>
      </c>
      <c r="U19" s="62">
        <v>-8052</v>
      </c>
      <c r="V19" s="62">
        <v>0</v>
      </c>
      <c r="W19" s="62"/>
      <c r="X19" s="62">
        <v>-850</v>
      </c>
      <c r="Y19" s="62">
        <v>0</v>
      </c>
      <c r="Z19" s="62">
        <v>7992</v>
      </c>
      <c r="AA19" s="62">
        <v>0</v>
      </c>
      <c r="AB19" s="62">
        <v>0</v>
      </c>
      <c r="AC19" s="62">
        <v>-850</v>
      </c>
      <c r="AD19" s="62">
        <v>-850</v>
      </c>
      <c r="AE19" s="62">
        <v>-850</v>
      </c>
      <c r="AF19" s="62">
        <v>-850</v>
      </c>
      <c r="AG19" s="62">
        <v>-850</v>
      </c>
      <c r="AH19" s="62">
        <v>-3742</v>
      </c>
      <c r="AI19" s="63">
        <v>10.4</v>
      </c>
      <c r="AL19" s="64"/>
    </row>
    <row r="20" spans="2:38">
      <c r="B20" s="61" t="s">
        <v>259</v>
      </c>
      <c r="C20" s="62">
        <v>110</v>
      </c>
      <c r="D20" s="62">
        <v>0</v>
      </c>
      <c r="E20" s="62">
        <v>660</v>
      </c>
      <c r="F20" s="61">
        <v>704</v>
      </c>
      <c r="G20" s="62">
        <v>14208309</v>
      </c>
      <c r="H20" s="62">
        <v>14716819</v>
      </c>
      <c r="I20" s="62">
        <v>1049664</v>
      </c>
      <c r="J20" s="62">
        <v>1098186</v>
      </c>
      <c r="K20" s="62">
        <v>-516918</v>
      </c>
      <c r="L20" s="62">
        <v>15126107</v>
      </c>
      <c r="M20" s="62">
        <v>13328956</v>
      </c>
      <c r="N20" s="62">
        <v>12807777</v>
      </c>
      <c r="O20" s="62">
        <v>15849686</v>
      </c>
      <c r="P20" s="62">
        <v>681507</v>
      </c>
      <c r="Q20" s="62">
        <v>434429</v>
      </c>
      <c r="R20" s="62">
        <v>0</v>
      </c>
      <c r="S20" s="62">
        <v>0</v>
      </c>
      <c r="T20" s="62">
        <v>-583190</v>
      </c>
      <c r="U20" s="62">
        <v>-1041256</v>
      </c>
      <c r="V20" s="62">
        <v>0</v>
      </c>
      <c r="W20" s="62"/>
      <c r="X20" s="62">
        <v>-66272</v>
      </c>
      <c r="Y20" s="62">
        <v>0</v>
      </c>
      <c r="Z20" s="62">
        <v>516918</v>
      </c>
      <c r="AA20" s="62">
        <v>0</v>
      </c>
      <c r="AB20" s="62">
        <v>0</v>
      </c>
      <c r="AC20" s="62">
        <v>-66272</v>
      </c>
      <c r="AD20" s="62">
        <v>-66272</v>
      </c>
      <c r="AE20" s="62">
        <v>-66272</v>
      </c>
      <c r="AF20" s="62">
        <v>-66272</v>
      </c>
      <c r="AG20" s="62">
        <v>-66272</v>
      </c>
      <c r="AH20" s="62">
        <v>-185558</v>
      </c>
      <c r="AI20" s="63">
        <v>8.8000000000000007</v>
      </c>
      <c r="AL20" s="64"/>
    </row>
    <row r="21" spans="2:38">
      <c r="B21" s="61" t="s">
        <v>260</v>
      </c>
      <c r="C21" s="62">
        <v>40</v>
      </c>
      <c r="D21" s="62">
        <v>0</v>
      </c>
      <c r="E21" s="62">
        <v>633</v>
      </c>
      <c r="F21" s="61">
        <v>660</v>
      </c>
      <c r="G21" s="62">
        <v>11526524</v>
      </c>
      <c r="H21" s="62">
        <v>11544154</v>
      </c>
      <c r="I21" s="62">
        <v>1039370</v>
      </c>
      <c r="J21" s="62">
        <v>568083</v>
      </c>
      <c r="K21" s="62">
        <v>-525819</v>
      </c>
      <c r="L21" s="62">
        <v>12439052</v>
      </c>
      <c r="M21" s="62">
        <v>10664703</v>
      </c>
      <c r="N21" s="62">
        <v>10142309</v>
      </c>
      <c r="O21" s="62">
        <v>13183462</v>
      </c>
      <c r="P21" s="62">
        <v>740981</v>
      </c>
      <c r="Q21" s="62">
        <v>350971</v>
      </c>
      <c r="R21" s="62">
        <v>0</v>
      </c>
      <c r="S21" s="62">
        <v>0</v>
      </c>
      <c r="T21" s="62">
        <v>-578401</v>
      </c>
      <c r="U21" s="62">
        <v>-531181</v>
      </c>
      <c r="V21" s="62">
        <v>0</v>
      </c>
      <c r="W21" s="62"/>
      <c r="X21" s="62">
        <v>-52582</v>
      </c>
      <c r="Y21" s="62">
        <v>0</v>
      </c>
      <c r="Z21" s="62">
        <v>525819</v>
      </c>
      <c r="AA21" s="62">
        <v>0</v>
      </c>
      <c r="AB21" s="62">
        <v>0</v>
      </c>
      <c r="AC21" s="62">
        <v>-52582</v>
      </c>
      <c r="AD21" s="62">
        <v>-52582</v>
      </c>
      <c r="AE21" s="62">
        <v>-52582</v>
      </c>
      <c r="AF21" s="62">
        <v>-52582</v>
      </c>
      <c r="AG21" s="62">
        <v>-52582</v>
      </c>
      <c r="AH21" s="62">
        <v>-262909</v>
      </c>
      <c r="AI21" s="63">
        <v>11</v>
      </c>
      <c r="AL21" s="64"/>
    </row>
    <row r="22" spans="2:38">
      <c r="B22" s="61" t="s">
        <v>261</v>
      </c>
      <c r="C22" s="62">
        <v>0</v>
      </c>
      <c r="D22" s="62">
        <v>0</v>
      </c>
      <c r="E22" s="62">
        <v>0</v>
      </c>
      <c r="F22" s="61">
        <v>0</v>
      </c>
      <c r="G22" s="62">
        <v>0</v>
      </c>
      <c r="H22" s="62">
        <v>0</v>
      </c>
      <c r="I22" s="62">
        <v>0</v>
      </c>
      <c r="J22" s="62">
        <v>0</v>
      </c>
      <c r="K22" s="62">
        <v>0</v>
      </c>
      <c r="L22" s="62">
        <v>0</v>
      </c>
      <c r="M22" s="62">
        <v>0</v>
      </c>
      <c r="N22" s="62">
        <v>0</v>
      </c>
      <c r="O22" s="62">
        <v>0</v>
      </c>
      <c r="P22" s="62">
        <v>0</v>
      </c>
      <c r="Q22" s="62">
        <v>0</v>
      </c>
      <c r="R22" s="62">
        <v>0</v>
      </c>
      <c r="S22" s="62">
        <v>0</v>
      </c>
      <c r="T22" s="62">
        <v>0</v>
      </c>
      <c r="U22" s="62">
        <v>0</v>
      </c>
      <c r="V22" s="62">
        <v>0</v>
      </c>
      <c r="W22" s="62"/>
      <c r="X22" s="62">
        <v>0</v>
      </c>
      <c r="Y22" s="62">
        <v>0</v>
      </c>
      <c r="Z22" s="62">
        <v>0</v>
      </c>
      <c r="AA22" s="62">
        <v>0</v>
      </c>
      <c r="AB22" s="62">
        <v>0</v>
      </c>
      <c r="AC22" s="62">
        <v>0</v>
      </c>
      <c r="AD22" s="62">
        <v>0</v>
      </c>
      <c r="AE22" s="62">
        <v>0</v>
      </c>
      <c r="AF22" s="62">
        <v>0</v>
      </c>
      <c r="AG22" s="62">
        <v>0</v>
      </c>
      <c r="AH22" s="62">
        <v>0</v>
      </c>
      <c r="AI22" s="63">
        <v>1</v>
      </c>
      <c r="AL22" s="64"/>
    </row>
    <row r="23" spans="2:38">
      <c r="B23" s="61" t="s">
        <v>262</v>
      </c>
      <c r="C23" s="62">
        <v>7</v>
      </c>
      <c r="D23" s="62">
        <v>0</v>
      </c>
      <c r="E23" s="62">
        <v>85</v>
      </c>
      <c r="F23" s="61">
        <v>87</v>
      </c>
      <c r="G23" s="62">
        <v>915433</v>
      </c>
      <c r="H23" s="62">
        <v>937501</v>
      </c>
      <c r="I23" s="62">
        <v>78400</v>
      </c>
      <c r="J23" s="62">
        <v>64800</v>
      </c>
      <c r="K23" s="62">
        <v>-39920</v>
      </c>
      <c r="L23" s="62">
        <v>985080</v>
      </c>
      <c r="M23" s="62">
        <v>849475</v>
      </c>
      <c r="N23" s="62">
        <v>810410</v>
      </c>
      <c r="O23" s="62">
        <v>1041087</v>
      </c>
      <c r="P23" s="62">
        <v>54563</v>
      </c>
      <c r="Q23" s="62">
        <v>28084</v>
      </c>
      <c r="R23" s="62">
        <v>0</v>
      </c>
      <c r="S23" s="62">
        <v>0</v>
      </c>
      <c r="T23" s="62">
        <v>-44167</v>
      </c>
      <c r="U23" s="62">
        <v>-60548</v>
      </c>
      <c r="V23" s="62">
        <v>0</v>
      </c>
      <c r="W23" s="62"/>
      <c r="X23" s="62">
        <v>-4247</v>
      </c>
      <c r="Y23" s="62">
        <v>0</v>
      </c>
      <c r="Z23" s="62">
        <v>39920</v>
      </c>
      <c r="AA23" s="62">
        <v>0</v>
      </c>
      <c r="AB23" s="62">
        <v>0</v>
      </c>
      <c r="AC23" s="62">
        <v>-4247</v>
      </c>
      <c r="AD23" s="62">
        <v>-4247</v>
      </c>
      <c r="AE23" s="62">
        <v>-4247</v>
      </c>
      <c r="AF23" s="62">
        <v>-4247</v>
      </c>
      <c r="AG23" s="62">
        <v>-4247</v>
      </c>
      <c r="AH23" s="62">
        <v>-18685</v>
      </c>
      <c r="AI23" s="63">
        <v>10.4</v>
      </c>
      <c r="AL23" s="64"/>
    </row>
    <row r="24" spans="2:38">
      <c r="B24" s="61" t="s">
        <v>263</v>
      </c>
      <c r="C24" s="62">
        <v>0</v>
      </c>
      <c r="D24" s="62">
        <v>0</v>
      </c>
      <c r="E24" s="62">
        <v>0</v>
      </c>
      <c r="F24" s="61">
        <v>0</v>
      </c>
      <c r="G24" s="62">
        <v>0</v>
      </c>
      <c r="H24" s="62">
        <v>0</v>
      </c>
      <c r="I24" s="62">
        <v>0</v>
      </c>
      <c r="J24" s="62">
        <v>0</v>
      </c>
      <c r="K24" s="62">
        <v>0</v>
      </c>
      <c r="L24" s="62">
        <v>0</v>
      </c>
      <c r="M24" s="62">
        <v>0</v>
      </c>
      <c r="N24" s="62">
        <v>0</v>
      </c>
      <c r="O24" s="62">
        <v>0</v>
      </c>
      <c r="P24" s="62">
        <v>0</v>
      </c>
      <c r="Q24" s="62">
        <v>0</v>
      </c>
      <c r="R24" s="62">
        <v>0</v>
      </c>
      <c r="S24" s="62">
        <v>0</v>
      </c>
      <c r="T24" s="62">
        <v>0</v>
      </c>
      <c r="U24" s="62">
        <v>0</v>
      </c>
      <c r="V24" s="62">
        <v>0</v>
      </c>
      <c r="W24" s="62"/>
      <c r="X24" s="62">
        <v>0</v>
      </c>
      <c r="Y24" s="62">
        <v>0</v>
      </c>
      <c r="Z24" s="62">
        <v>0</v>
      </c>
      <c r="AA24" s="62">
        <v>0</v>
      </c>
      <c r="AB24" s="62">
        <v>0</v>
      </c>
      <c r="AC24" s="62">
        <v>0</v>
      </c>
      <c r="AD24" s="62">
        <v>0</v>
      </c>
      <c r="AE24" s="62">
        <v>0</v>
      </c>
      <c r="AF24" s="62">
        <v>0</v>
      </c>
      <c r="AG24" s="62">
        <v>0</v>
      </c>
      <c r="AH24" s="62">
        <v>0</v>
      </c>
      <c r="AI24" s="63">
        <v>1</v>
      </c>
      <c r="AL24" s="64"/>
    </row>
    <row r="25" spans="2:38">
      <c r="B25" s="61" t="s">
        <v>264</v>
      </c>
      <c r="C25" s="62">
        <v>47</v>
      </c>
      <c r="D25" s="62">
        <v>0</v>
      </c>
      <c r="E25" s="62">
        <v>530</v>
      </c>
      <c r="F25" s="61">
        <v>573</v>
      </c>
      <c r="G25" s="62">
        <v>11842901</v>
      </c>
      <c r="H25" s="62">
        <v>11774947</v>
      </c>
      <c r="I25" s="62">
        <v>1135348</v>
      </c>
      <c r="J25" s="62">
        <v>649138</v>
      </c>
      <c r="K25" s="62">
        <v>-513661</v>
      </c>
      <c r="L25" s="62">
        <v>12737135</v>
      </c>
      <c r="M25" s="62">
        <v>10995065</v>
      </c>
      <c r="N25" s="62">
        <v>10440661</v>
      </c>
      <c r="O25" s="62">
        <v>13518514</v>
      </c>
      <c r="P25" s="62">
        <v>828906</v>
      </c>
      <c r="Q25" s="62">
        <v>359948</v>
      </c>
      <c r="R25" s="62">
        <v>0</v>
      </c>
      <c r="S25" s="62">
        <v>0</v>
      </c>
      <c r="T25" s="62">
        <v>-567167</v>
      </c>
      <c r="U25" s="62">
        <v>-553733</v>
      </c>
      <c r="V25" s="62">
        <v>0</v>
      </c>
      <c r="W25" s="62"/>
      <c r="X25" s="62">
        <v>-53506</v>
      </c>
      <c r="Y25" s="62">
        <v>0</v>
      </c>
      <c r="Z25" s="62">
        <v>513661</v>
      </c>
      <c r="AA25" s="62">
        <v>0</v>
      </c>
      <c r="AB25" s="62">
        <v>0</v>
      </c>
      <c r="AC25" s="62">
        <v>-53506</v>
      </c>
      <c r="AD25" s="62">
        <v>-53506</v>
      </c>
      <c r="AE25" s="62">
        <v>-53506</v>
      </c>
      <c r="AF25" s="62">
        <v>-53506</v>
      </c>
      <c r="AG25" s="62">
        <v>-53506</v>
      </c>
      <c r="AH25" s="62">
        <v>-246131</v>
      </c>
      <c r="AI25" s="63">
        <v>10.6</v>
      </c>
      <c r="AL25" s="64"/>
    </row>
    <row r="26" spans="2:38">
      <c r="B26" s="61" t="s">
        <v>265</v>
      </c>
      <c r="C26" s="62">
        <v>12</v>
      </c>
      <c r="D26" s="62">
        <v>0</v>
      </c>
      <c r="E26" s="62">
        <v>108</v>
      </c>
      <c r="F26" s="61">
        <v>114</v>
      </c>
      <c r="G26" s="62">
        <v>996576</v>
      </c>
      <c r="H26" s="62">
        <v>1046374</v>
      </c>
      <c r="I26" s="62">
        <v>83499</v>
      </c>
      <c r="J26" s="62">
        <v>99473</v>
      </c>
      <c r="K26" s="62">
        <v>-37174</v>
      </c>
      <c r="L26" s="62">
        <v>1061373</v>
      </c>
      <c r="M26" s="62">
        <v>935476</v>
      </c>
      <c r="N26" s="62">
        <v>895789</v>
      </c>
      <c r="O26" s="62">
        <v>1118097</v>
      </c>
      <c r="P26" s="62">
        <v>56820</v>
      </c>
      <c r="Q26" s="62">
        <v>30810</v>
      </c>
      <c r="R26" s="62">
        <v>0</v>
      </c>
      <c r="S26" s="62">
        <v>0</v>
      </c>
      <c r="T26" s="62">
        <v>-41305</v>
      </c>
      <c r="U26" s="62">
        <v>-96123</v>
      </c>
      <c r="V26" s="62">
        <v>0</v>
      </c>
      <c r="W26" s="62"/>
      <c r="X26" s="62">
        <v>-4131</v>
      </c>
      <c r="Y26" s="62">
        <v>0</v>
      </c>
      <c r="Z26" s="62">
        <v>37174</v>
      </c>
      <c r="AA26" s="62">
        <v>0</v>
      </c>
      <c r="AB26" s="62">
        <v>0</v>
      </c>
      <c r="AC26" s="62">
        <v>-4131</v>
      </c>
      <c r="AD26" s="62">
        <v>-4131</v>
      </c>
      <c r="AE26" s="62">
        <v>-4131</v>
      </c>
      <c r="AF26" s="62">
        <v>-4131</v>
      </c>
      <c r="AG26" s="62">
        <v>-4131</v>
      </c>
      <c r="AH26" s="62">
        <v>-16519</v>
      </c>
      <c r="AI26" s="63">
        <v>10</v>
      </c>
      <c r="AL26" s="64"/>
    </row>
    <row r="27" spans="2:38">
      <c r="B27" s="61" t="s">
        <v>266</v>
      </c>
      <c r="C27" s="62">
        <v>45</v>
      </c>
      <c r="D27" s="62">
        <v>0</v>
      </c>
      <c r="E27" s="62">
        <v>541</v>
      </c>
      <c r="F27" s="61">
        <v>597</v>
      </c>
      <c r="G27" s="62">
        <v>8935486</v>
      </c>
      <c r="H27" s="62">
        <v>9007148</v>
      </c>
      <c r="I27" s="62">
        <v>757998</v>
      </c>
      <c r="J27" s="62">
        <v>557381</v>
      </c>
      <c r="K27" s="62">
        <v>-341499</v>
      </c>
      <c r="L27" s="62">
        <v>9536268</v>
      </c>
      <c r="M27" s="62">
        <v>8360051</v>
      </c>
      <c r="N27" s="62">
        <v>8002273</v>
      </c>
      <c r="O27" s="62">
        <v>10032701</v>
      </c>
      <c r="P27" s="62">
        <v>526453</v>
      </c>
      <c r="Q27" s="62">
        <v>271254</v>
      </c>
      <c r="R27" s="62">
        <v>0</v>
      </c>
      <c r="S27" s="62">
        <v>0</v>
      </c>
      <c r="T27" s="62">
        <v>-381208</v>
      </c>
      <c r="U27" s="62">
        <v>-488161</v>
      </c>
      <c r="V27" s="62">
        <v>0</v>
      </c>
      <c r="W27" s="62"/>
      <c r="X27" s="62">
        <v>-39709</v>
      </c>
      <c r="Y27" s="62">
        <v>0</v>
      </c>
      <c r="Z27" s="62">
        <v>341499</v>
      </c>
      <c r="AA27" s="62">
        <v>0</v>
      </c>
      <c r="AB27" s="62">
        <v>0</v>
      </c>
      <c r="AC27" s="62">
        <v>-39709</v>
      </c>
      <c r="AD27" s="62">
        <v>-39709</v>
      </c>
      <c r="AE27" s="62">
        <v>-39709</v>
      </c>
      <c r="AF27" s="62">
        <v>-39709</v>
      </c>
      <c r="AG27" s="62">
        <v>-39709</v>
      </c>
      <c r="AH27" s="62">
        <v>-142954</v>
      </c>
      <c r="AI27" s="63">
        <v>9.6</v>
      </c>
      <c r="AL27" s="64"/>
    </row>
    <row r="28" spans="2:38">
      <c r="B28" s="61" t="s">
        <v>267</v>
      </c>
      <c r="C28" s="62">
        <v>43</v>
      </c>
      <c r="D28" s="62">
        <v>0</v>
      </c>
      <c r="E28" s="62">
        <v>496</v>
      </c>
      <c r="F28" s="61">
        <v>532</v>
      </c>
      <c r="G28" s="62">
        <v>12766749</v>
      </c>
      <c r="H28" s="62">
        <v>12633641</v>
      </c>
      <c r="I28" s="62">
        <v>1129406</v>
      </c>
      <c r="J28" s="62">
        <v>492462</v>
      </c>
      <c r="K28" s="62">
        <v>-566802</v>
      </c>
      <c r="L28" s="62">
        <v>13761138</v>
      </c>
      <c r="M28" s="62">
        <v>11820591</v>
      </c>
      <c r="N28" s="62">
        <v>11208828</v>
      </c>
      <c r="O28" s="62">
        <v>14623808</v>
      </c>
      <c r="P28" s="62">
        <v>807601</v>
      </c>
      <c r="Q28" s="62">
        <v>386214</v>
      </c>
      <c r="R28" s="62">
        <v>0</v>
      </c>
      <c r="S28" s="62">
        <v>0</v>
      </c>
      <c r="T28" s="62">
        <v>-631211</v>
      </c>
      <c r="U28" s="62">
        <v>-429496</v>
      </c>
      <c r="V28" s="62">
        <v>0</v>
      </c>
      <c r="W28" s="62"/>
      <c r="X28" s="62">
        <v>-64409</v>
      </c>
      <c r="Y28" s="62">
        <v>0</v>
      </c>
      <c r="Z28" s="62">
        <v>566802</v>
      </c>
      <c r="AA28" s="62">
        <v>0</v>
      </c>
      <c r="AB28" s="62">
        <v>0</v>
      </c>
      <c r="AC28" s="62">
        <v>-64409</v>
      </c>
      <c r="AD28" s="62">
        <v>-64409</v>
      </c>
      <c r="AE28" s="62">
        <v>-64409</v>
      </c>
      <c r="AF28" s="62">
        <v>-64409</v>
      </c>
      <c r="AG28" s="62">
        <v>-64409</v>
      </c>
      <c r="AH28" s="62">
        <v>-244757</v>
      </c>
      <c r="AI28" s="63">
        <v>9.8000000000000007</v>
      </c>
      <c r="AL28" s="64"/>
    </row>
    <row r="29" spans="2:38">
      <c r="B29" s="61" t="s">
        <v>268</v>
      </c>
      <c r="C29" s="62">
        <v>0</v>
      </c>
      <c r="D29" s="62">
        <v>0</v>
      </c>
      <c r="E29" s="62">
        <v>0</v>
      </c>
      <c r="F29" s="61">
        <v>0</v>
      </c>
      <c r="G29" s="62">
        <v>0</v>
      </c>
      <c r="H29" s="62">
        <v>0</v>
      </c>
      <c r="I29" s="62">
        <v>0</v>
      </c>
      <c r="J29" s="62">
        <v>0</v>
      </c>
      <c r="K29" s="62">
        <v>0</v>
      </c>
      <c r="L29" s="62">
        <v>0</v>
      </c>
      <c r="M29" s="62">
        <v>0</v>
      </c>
      <c r="N29" s="62">
        <v>0</v>
      </c>
      <c r="O29" s="62">
        <v>0</v>
      </c>
      <c r="P29" s="62">
        <v>0</v>
      </c>
      <c r="Q29" s="62">
        <v>0</v>
      </c>
      <c r="R29" s="62">
        <v>0</v>
      </c>
      <c r="S29" s="62">
        <v>0</v>
      </c>
      <c r="T29" s="62">
        <v>0</v>
      </c>
      <c r="U29" s="62">
        <v>0</v>
      </c>
      <c r="V29" s="62">
        <v>0</v>
      </c>
      <c r="W29" s="62"/>
      <c r="X29" s="62">
        <v>0</v>
      </c>
      <c r="Y29" s="62">
        <v>0</v>
      </c>
      <c r="Z29" s="62">
        <v>0</v>
      </c>
      <c r="AA29" s="62">
        <v>0</v>
      </c>
      <c r="AB29" s="62">
        <v>0</v>
      </c>
      <c r="AC29" s="62">
        <v>0</v>
      </c>
      <c r="AD29" s="62">
        <v>0</v>
      </c>
      <c r="AE29" s="62">
        <v>0</v>
      </c>
      <c r="AF29" s="62">
        <v>0</v>
      </c>
      <c r="AG29" s="62">
        <v>0</v>
      </c>
      <c r="AH29" s="62">
        <v>0</v>
      </c>
      <c r="AI29" s="63">
        <v>1</v>
      </c>
      <c r="AL29" s="64"/>
    </row>
    <row r="30" spans="2:38">
      <c r="B30" s="61" t="s">
        <v>269</v>
      </c>
      <c r="C30" s="62">
        <v>0</v>
      </c>
      <c r="D30" s="62">
        <v>0</v>
      </c>
      <c r="E30" s="62">
        <v>0</v>
      </c>
      <c r="F30" s="61">
        <v>0</v>
      </c>
      <c r="G30" s="62">
        <v>0</v>
      </c>
      <c r="H30" s="62">
        <v>0</v>
      </c>
      <c r="I30" s="62">
        <v>0</v>
      </c>
      <c r="J30" s="62">
        <v>0</v>
      </c>
      <c r="K30" s="62">
        <v>0</v>
      </c>
      <c r="L30" s="62">
        <v>0</v>
      </c>
      <c r="M30" s="62">
        <v>0</v>
      </c>
      <c r="N30" s="62">
        <v>0</v>
      </c>
      <c r="O30" s="62">
        <v>0</v>
      </c>
      <c r="P30" s="62">
        <v>0</v>
      </c>
      <c r="Q30" s="62">
        <v>0</v>
      </c>
      <c r="R30" s="62">
        <v>0</v>
      </c>
      <c r="S30" s="62">
        <v>0</v>
      </c>
      <c r="T30" s="62">
        <v>0</v>
      </c>
      <c r="U30" s="62">
        <v>0</v>
      </c>
      <c r="V30" s="62">
        <v>0</v>
      </c>
      <c r="W30" s="62"/>
      <c r="X30" s="62">
        <v>0</v>
      </c>
      <c r="Y30" s="62">
        <v>0</v>
      </c>
      <c r="Z30" s="62">
        <v>0</v>
      </c>
      <c r="AA30" s="62">
        <v>0</v>
      </c>
      <c r="AB30" s="62">
        <v>0</v>
      </c>
      <c r="AC30" s="62">
        <v>0</v>
      </c>
      <c r="AD30" s="62">
        <v>0</v>
      </c>
      <c r="AE30" s="62">
        <v>0</v>
      </c>
      <c r="AF30" s="62">
        <v>0</v>
      </c>
      <c r="AG30" s="62">
        <v>0</v>
      </c>
      <c r="AH30" s="62">
        <v>0</v>
      </c>
      <c r="AI30" s="63">
        <v>1</v>
      </c>
      <c r="AL30" s="64"/>
    </row>
    <row r="31" spans="2:38">
      <c r="B31" s="61" t="s">
        <v>270</v>
      </c>
      <c r="C31" s="62">
        <v>79</v>
      </c>
      <c r="D31" s="62">
        <v>0</v>
      </c>
      <c r="E31" s="62">
        <v>777</v>
      </c>
      <c r="F31" s="61">
        <v>841</v>
      </c>
      <c r="G31" s="62">
        <v>23772353</v>
      </c>
      <c r="H31" s="62">
        <v>23493424</v>
      </c>
      <c r="I31" s="62">
        <v>2189085</v>
      </c>
      <c r="J31" s="62">
        <v>1060211</v>
      </c>
      <c r="K31" s="62">
        <v>-977438</v>
      </c>
      <c r="L31" s="62">
        <v>25486475</v>
      </c>
      <c r="M31" s="62">
        <v>22135535</v>
      </c>
      <c r="N31" s="62">
        <v>21046911</v>
      </c>
      <c r="O31" s="62">
        <v>27006377</v>
      </c>
      <c r="P31" s="62">
        <v>1581584</v>
      </c>
      <c r="Q31" s="62">
        <v>718573</v>
      </c>
      <c r="R31" s="62">
        <v>0</v>
      </c>
      <c r="S31" s="62">
        <v>0</v>
      </c>
      <c r="T31" s="62">
        <v>-1088510</v>
      </c>
      <c r="U31" s="62">
        <v>-932718</v>
      </c>
      <c r="V31" s="62">
        <v>0</v>
      </c>
      <c r="W31" s="62"/>
      <c r="X31" s="62">
        <v>-111072</v>
      </c>
      <c r="Y31" s="62">
        <v>0</v>
      </c>
      <c r="Z31" s="62">
        <v>977438</v>
      </c>
      <c r="AA31" s="62">
        <v>0</v>
      </c>
      <c r="AB31" s="62">
        <v>0</v>
      </c>
      <c r="AC31" s="62">
        <v>-111072</v>
      </c>
      <c r="AD31" s="62">
        <v>-111072</v>
      </c>
      <c r="AE31" s="62">
        <v>-111072</v>
      </c>
      <c r="AF31" s="62">
        <v>-111072</v>
      </c>
      <c r="AG31" s="62">
        <v>-111072</v>
      </c>
      <c r="AH31" s="62">
        <v>-422078</v>
      </c>
      <c r="AI31" s="63">
        <v>9.8000000000000007</v>
      </c>
      <c r="AL31" s="64"/>
    </row>
    <row r="32" spans="2:38">
      <c r="B32" s="61" t="s">
        <v>271</v>
      </c>
      <c r="C32" s="62">
        <v>13</v>
      </c>
      <c r="D32" s="62">
        <v>0</v>
      </c>
      <c r="E32" s="62">
        <v>190</v>
      </c>
      <c r="F32" s="61">
        <v>205</v>
      </c>
      <c r="G32" s="62">
        <v>2069679</v>
      </c>
      <c r="H32" s="62">
        <v>2092919</v>
      </c>
      <c r="I32" s="62">
        <v>165451</v>
      </c>
      <c r="J32" s="62">
        <v>101751</v>
      </c>
      <c r="K32" s="62">
        <v>-82931</v>
      </c>
      <c r="L32" s="62">
        <v>2214535</v>
      </c>
      <c r="M32" s="62">
        <v>1929816</v>
      </c>
      <c r="N32" s="62">
        <v>1841982</v>
      </c>
      <c r="O32" s="62">
        <v>2338028</v>
      </c>
      <c r="P32" s="62">
        <v>112034</v>
      </c>
      <c r="Q32" s="62">
        <v>62841</v>
      </c>
      <c r="R32" s="62">
        <v>0</v>
      </c>
      <c r="S32" s="62">
        <v>0</v>
      </c>
      <c r="T32" s="62">
        <v>-92355</v>
      </c>
      <c r="U32" s="62">
        <v>-105760</v>
      </c>
      <c r="V32" s="62">
        <v>0</v>
      </c>
      <c r="W32" s="62"/>
      <c r="X32" s="62">
        <v>-9424</v>
      </c>
      <c r="Y32" s="62">
        <v>0</v>
      </c>
      <c r="Z32" s="62">
        <v>82931</v>
      </c>
      <c r="AA32" s="62">
        <v>0</v>
      </c>
      <c r="AB32" s="62">
        <v>0</v>
      </c>
      <c r="AC32" s="62">
        <v>-9424</v>
      </c>
      <c r="AD32" s="62">
        <v>-9424</v>
      </c>
      <c r="AE32" s="62">
        <v>-9424</v>
      </c>
      <c r="AF32" s="62">
        <v>-9424</v>
      </c>
      <c r="AG32" s="62">
        <v>-9424</v>
      </c>
      <c r="AH32" s="62">
        <v>-35811</v>
      </c>
      <c r="AI32" s="63">
        <v>9.8000000000000007</v>
      </c>
      <c r="AL32" s="64"/>
    </row>
    <row r="33" spans="2:38">
      <c r="B33" s="61" t="s">
        <v>272</v>
      </c>
      <c r="C33" s="62">
        <v>24</v>
      </c>
      <c r="D33" s="62">
        <v>0</v>
      </c>
      <c r="E33" s="62">
        <v>325</v>
      </c>
      <c r="F33" s="61">
        <v>346</v>
      </c>
      <c r="G33" s="62">
        <v>3551777</v>
      </c>
      <c r="H33" s="62">
        <v>3629693</v>
      </c>
      <c r="I33" s="62">
        <v>289283</v>
      </c>
      <c r="J33" s="62">
        <v>222249</v>
      </c>
      <c r="K33" s="62">
        <v>-156509</v>
      </c>
      <c r="L33" s="62">
        <v>3824819</v>
      </c>
      <c r="M33" s="62">
        <v>3292935</v>
      </c>
      <c r="N33" s="62">
        <v>3135406</v>
      </c>
      <c r="O33" s="62">
        <v>4048505</v>
      </c>
      <c r="P33" s="62">
        <v>197436</v>
      </c>
      <c r="Q33" s="62">
        <v>108676</v>
      </c>
      <c r="R33" s="62">
        <v>0</v>
      </c>
      <c r="S33" s="62">
        <v>0</v>
      </c>
      <c r="T33" s="62">
        <v>-173338</v>
      </c>
      <c r="U33" s="62">
        <v>-210690</v>
      </c>
      <c r="V33" s="62">
        <v>0</v>
      </c>
      <c r="W33" s="62"/>
      <c r="X33" s="62">
        <v>-16829</v>
      </c>
      <c r="Y33" s="62">
        <v>0</v>
      </c>
      <c r="Z33" s="62">
        <v>156509</v>
      </c>
      <c r="AA33" s="62">
        <v>0</v>
      </c>
      <c r="AB33" s="62">
        <v>0</v>
      </c>
      <c r="AC33" s="62">
        <v>-16829</v>
      </c>
      <c r="AD33" s="62">
        <v>-16829</v>
      </c>
      <c r="AE33" s="62">
        <v>-16829</v>
      </c>
      <c r="AF33" s="62">
        <v>-16829</v>
      </c>
      <c r="AG33" s="62">
        <v>-16829</v>
      </c>
      <c r="AH33" s="62">
        <v>-72364</v>
      </c>
      <c r="AI33" s="63">
        <v>10.3</v>
      </c>
      <c r="AL33" s="64"/>
    </row>
    <row r="34" spans="2:38">
      <c r="B34" s="61" t="s">
        <v>273</v>
      </c>
      <c r="C34" s="62">
        <v>57</v>
      </c>
      <c r="D34" s="62">
        <v>0</v>
      </c>
      <c r="E34" s="62">
        <v>843</v>
      </c>
      <c r="F34" s="61">
        <v>889</v>
      </c>
      <c r="G34" s="62">
        <v>12506629</v>
      </c>
      <c r="H34" s="62">
        <v>12410207</v>
      </c>
      <c r="I34" s="62">
        <v>1063760</v>
      </c>
      <c r="J34" s="62">
        <v>537652</v>
      </c>
      <c r="K34" s="62">
        <v>-505071</v>
      </c>
      <c r="L34" s="62">
        <v>13393552</v>
      </c>
      <c r="M34" s="62">
        <v>11657550</v>
      </c>
      <c r="N34" s="62">
        <v>11125335</v>
      </c>
      <c r="O34" s="62">
        <v>14135068</v>
      </c>
      <c r="P34" s="62">
        <v>745103</v>
      </c>
      <c r="Q34" s="62">
        <v>377386</v>
      </c>
      <c r="R34" s="62">
        <v>0</v>
      </c>
      <c r="S34" s="62">
        <v>0</v>
      </c>
      <c r="T34" s="62">
        <v>-563800</v>
      </c>
      <c r="U34" s="62">
        <v>-462267</v>
      </c>
      <c r="V34" s="62">
        <v>0</v>
      </c>
      <c r="W34" s="62"/>
      <c r="X34" s="62">
        <v>-58729</v>
      </c>
      <c r="Y34" s="62">
        <v>0</v>
      </c>
      <c r="Z34" s="62">
        <v>505071</v>
      </c>
      <c r="AA34" s="62">
        <v>0</v>
      </c>
      <c r="AB34" s="62">
        <v>0</v>
      </c>
      <c r="AC34" s="62">
        <v>-58729</v>
      </c>
      <c r="AD34" s="62">
        <v>-58729</v>
      </c>
      <c r="AE34" s="62">
        <v>-58729</v>
      </c>
      <c r="AF34" s="62">
        <v>-58729</v>
      </c>
      <c r="AG34" s="62">
        <v>-58729</v>
      </c>
      <c r="AH34" s="62">
        <v>-211426</v>
      </c>
      <c r="AI34" s="63">
        <v>9.6</v>
      </c>
      <c r="AL34" s="64"/>
    </row>
    <row r="35" spans="2:38">
      <c r="B35" s="61" t="s">
        <v>274</v>
      </c>
      <c r="C35" s="62">
        <v>1</v>
      </c>
      <c r="D35" s="62">
        <v>0</v>
      </c>
      <c r="E35" s="62">
        <v>0</v>
      </c>
      <c r="F35" s="61">
        <v>0</v>
      </c>
      <c r="G35" s="62">
        <v>36929</v>
      </c>
      <c r="H35" s="62">
        <v>39510</v>
      </c>
      <c r="I35" s="62">
        <v>-173</v>
      </c>
      <c r="J35" s="62">
        <v>2382</v>
      </c>
      <c r="K35" s="62">
        <v>0</v>
      </c>
      <c r="L35" s="62">
        <v>38976</v>
      </c>
      <c r="M35" s="62">
        <v>35034</v>
      </c>
      <c r="N35" s="62">
        <v>35078</v>
      </c>
      <c r="O35" s="62">
        <v>38887</v>
      </c>
      <c r="P35" s="62">
        <v>0</v>
      </c>
      <c r="Q35" s="62">
        <v>1119</v>
      </c>
      <c r="R35" s="62">
        <v>0</v>
      </c>
      <c r="S35" s="62">
        <v>0</v>
      </c>
      <c r="T35" s="62">
        <v>-1292</v>
      </c>
      <c r="U35" s="62">
        <v>-2408</v>
      </c>
      <c r="V35" s="62">
        <v>0</v>
      </c>
      <c r="W35" s="62"/>
      <c r="X35" s="62">
        <v>-1292</v>
      </c>
      <c r="Y35" s="62">
        <v>0</v>
      </c>
      <c r="Z35" s="62">
        <v>0</v>
      </c>
      <c r="AA35" s="62">
        <v>0</v>
      </c>
      <c r="AB35" s="62">
        <v>0</v>
      </c>
      <c r="AC35" s="62">
        <v>0</v>
      </c>
      <c r="AD35" s="62">
        <v>0</v>
      </c>
      <c r="AE35" s="62">
        <v>0</v>
      </c>
      <c r="AF35" s="62">
        <v>0</v>
      </c>
      <c r="AG35" s="62">
        <v>0</v>
      </c>
      <c r="AH35" s="62">
        <v>0</v>
      </c>
      <c r="AI35" s="63">
        <v>1</v>
      </c>
      <c r="AL35" s="64"/>
    </row>
    <row r="36" spans="2:38">
      <c r="B36" s="61" t="s">
        <v>275</v>
      </c>
      <c r="C36" s="62">
        <v>23</v>
      </c>
      <c r="D36" s="62">
        <v>0</v>
      </c>
      <c r="E36" s="62">
        <v>420</v>
      </c>
      <c r="F36" s="61">
        <v>456</v>
      </c>
      <c r="G36" s="62">
        <v>9104393</v>
      </c>
      <c r="H36" s="62">
        <v>8963850</v>
      </c>
      <c r="I36" s="62">
        <v>840596</v>
      </c>
      <c r="J36" s="62">
        <v>293683</v>
      </c>
      <c r="K36" s="62">
        <v>-441984</v>
      </c>
      <c r="L36" s="62">
        <v>9870611</v>
      </c>
      <c r="M36" s="62">
        <v>8376215</v>
      </c>
      <c r="N36" s="62">
        <v>7893076</v>
      </c>
      <c r="O36" s="62">
        <v>10557865</v>
      </c>
      <c r="P36" s="62">
        <v>609468</v>
      </c>
      <c r="Q36" s="62">
        <v>275773</v>
      </c>
      <c r="R36" s="62">
        <v>0</v>
      </c>
      <c r="S36" s="62">
        <v>0</v>
      </c>
      <c r="T36" s="62">
        <v>-486629</v>
      </c>
      <c r="U36" s="62">
        <v>-258069</v>
      </c>
      <c r="V36" s="62">
        <v>0</v>
      </c>
      <c r="W36" s="62"/>
      <c r="X36" s="62">
        <v>-44645</v>
      </c>
      <c r="Y36" s="62">
        <v>0</v>
      </c>
      <c r="Z36" s="62">
        <v>441984</v>
      </c>
      <c r="AA36" s="62">
        <v>0</v>
      </c>
      <c r="AB36" s="62">
        <v>0</v>
      </c>
      <c r="AC36" s="62">
        <v>-44645</v>
      </c>
      <c r="AD36" s="62">
        <v>-44645</v>
      </c>
      <c r="AE36" s="62">
        <v>-44645</v>
      </c>
      <c r="AF36" s="62">
        <v>-44645</v>
      </c>
      <c r="AG36" s="62">
        <v>-44645</v>
      </c>
      <c r="AH36" s="62">
        <v>-218759</v>
      </c>
      <c r="AI36" s="63">
        <v>10.9</v>
      </c>
      <c r="AL36" s="64"/>
    </row>
    <row r="37" spans="2:38">
      <c r="B37" s="61" t="s">
        <v>276</v>
      </c>
      <c r="C37" s="62">
        <v>0</v>
      </c>
      <c r="D37" s="62">
        <v>0</v>
      </c>
      <c r="E37" s="62">
        <v>0</v>
      </c>
      <c r="F37" s="61">
        <v>0</v>
      </c>
      <c r="G37" s="62">
        <v>0</v>
      </c>
      <c r="H37" s="62">
        <v>0</v>
      </c>
      <c r="I37" s="62">
        <v>0</v>
      </c>
      <c r="J37" s="62">
        <v>0</v>
      </c>
      <c r="K37" s="62">
        <v>0</v>
      </c>
      <c r="L37" s="62">
        <v>0</v>
      </c>
      <c r="M37" s="62">
        <v>0</v>
      </c>
      <c r="N37" s="62">
        <v>0</v>
      </c>
      <c r="O37" s="62">
        <v>0</v>
      </c>
      <c r="P37" s="62">
        <v>0</v>
      </c>
      <c r="Q37" s="62">
        <v>0</v>
      </c>
      <c r="R37" s="62">
        <v>0</v>
      </c>
      <c r="S37" s="62">
        <v>0</v>
      </c>
      <c r="T37" s="62">
        <v>0</v>
      </c>
      <c r="U37" s="62">
        <v>0</v>
      </c>
      <c r="V37" s="62">
        <v>0</v>
      </c>
      <c r="W37" s="62"/>
      <c r="X37" s="62">
        <v>0</v>
      </c>
      <c r="Y37" s="62">
        <v>0</v>
      </c>
      <c r="Z37" s="62">
        <v>0</v>
      </c>
      <c r="AA37" s="62">
        <v>0</v>
      </c>
      <c r="AB37" s="62">
        <v>0</v>
      </c>
      <c r="AC37" s="62">
        <v>0</v>
      </c>
      <c r="AD37" s="62">
        <v>0</v>
      </c>
      <c r="AE37" s="62">
        <v>0</v>
      </c>
      <c r="AF37" s="62">
        <v>0</v>
      </c>
      <c r="AG37" s="62">
        <v>0</v>
      </c>
      <c r="AH37" s="62">
        <v>0</v>
      </c>
      <c r="AI37" s="63">
        <v>1</v>
      </c>
      <c r="AL37" s="64"/>
    </row>
    <row r="38" spans="2:38">
      <c r="B38" s="61" t="s">
        <v>277</v>
      </c>
      <c r="C38" s="62">
        <v>34</v>
      </c>
      <c r="D38" s="62">
        <v>0</v>
      </c>
      <c r="E38" s="62">
        <v>280</v>
      </c>
      <c r="F38" s="61">
        <v>294</v>
      </c>
      <c r="G38" s="62">
        <v>5933858</v>
      </c>
      <c r="H38" s="62">
        <v>6052671</v>
      </c>
      <c r="I38" s="62">
        <v>477403</v>
      </c>
      <c r="J38" s="62">
        <v>373156</v>
      </c>
      <c r="K38" s="62">
        <v>-247176</v>
      </c>
      <c r="L38" s="62">
        <v>6367339</v>
      </c>
      <c r="M38" s="62">
        <v>5524958</v>
      </c>
      <c r="N38" s="62">
        <v>5296007</v>
      </c>
      <c r="O38" s="62">
        <v>6689515</v>
      </c>
      <c r="P38" s="62">
        <v>323771</v>
      </c>
      <c r="Q38" s="62">
        <v>181096</v>
      </c>
      <c r="R38" s="62">
        <v>0</v>
      </c>
      <c r="S38" s="62">
        <v>0</v>
      </c>
      <c r="T38" s="62">
        <v>-274640</v>
      </c>
      <c r="U38" s="62">
        <v>-349040</v>
      </c>
      <c r="V38" s="62">
        <v>0</v>
      </c>
      <c r="W38" s="62"/>
      <c r="X38" s="62">
        <v>-27464</v>
      </c>
      <c r="Y38" s="62">
        <v>0</v>
      </c>
      <c r="Z38" s="62">
        <v>247176</v>
      </c>
      <c r="AA38" s="62">
        <v>0</v>
      </c>
      <c r="AB38" s="62">
        <v>0</v>
      </c>
      <c r="AC38" s="62">
        <v>-27464</v>
      </c>
      <c r="AD38" s="62">
        <v>-27464</v>
      </c>
      <c r="AE38" s="62">
        <v>-27464</v>
      </c>
      <c r="AF38" s="62">
        <v>-27464</v>
      </c>
      <c r="AG38" s="62">
        <v>-27464</v>
      </c>
      <c r="AH38" s="62">
        <v>-109856</v>
      </c>
      <c r="AI38" s="63">
        <v>10</v>
      </c>
      <c r="AL38" s="64"/>
    </row>
    <row r="39" spans="2:38">
      <c r="B39" s="61" t="s">
        <v>278</v>
      </c>
      <c r="C39" s="62">
        <v>1</v>
      </c>
      <c r="D39" s="62">
        <v>0</v>
      </c>
      <c r="E39" s="62">
        <v>42</v>
      </c>
      <c r="F39" s="61">
        <v>43</v>
      </c>
      <c r="G39" s="62">
        <v>280289</v>
      </c>
      <c r="H39" s="62">
        <v>270541</v>
      </c>
      <c r="I39" s="62">
        <v>32118</v>
      </c>
      <c r="J39" s="62">
        <v>9996</v>
      </c>
      <c r="K39" s="62">
        <v>-14300</v>
      </c>
      <c r="L39" s="62">
        <v>304729</v>
      </c>
      <c r="M39" s="62">
        <v>257344</v>
      </c>
      <c r="N39" s="62">
        <v>242559</v>
      </c>
      <c r="O39" s="62">
        <v>326398</v>
      </c>
      <c r="P39" s="62">
        <v>24920</v>
      </c>
      <c r="Q39" s="62">
        <v>8510</v>
      </c>
      <c r="R39" s="62">
        <v>0</v>
      </c>
      <c r="S39" s="62">
        <v>0</v>
      </c>
      <c r="T39" s="62">
        <v>-15612</v>
      </c>
      <c r="U39" s="62">
        <v>-8070</v>
      </c>
      <c r="V39" s="62">
        <v>0</v>
      </c>
      <c r="W39" s="62"/>
      <c r="X39" s="62">
        <v>-1312</v>
      </c>
      <c r="Y39" s="62">
        <v>0</v>
      </c>
      <c r="Z39" s="62">
        <v>14300</v>
      </c>
      <c r="AA39" s="62">
        <v>0</v>
      </c>
      <c r="AB39" s="62">
        <v>0</v>
      </c>
      <c r="AC39" s="62">
        <v>-1312</v>
      </c>
      <c r="AD39" s="62">
        <v>-1312</v>
      </c>
      <c r="AE39" s="62">
        <v>-1312</v>
      </c>
      <c r="AF39" s="62">
        <v>-1312</v>
      </c>
      <c r="AG39" s="62">
        <v>-1312</v>
      </c>
      <c r="AH39" s="62">
        <v>-7740</v>
      </c>
      <c r="AI39" s="63">
        <v>11.9</v>
      </c>
      <c r="AL39" s="64"/>
    </row>
    <row r="40" spans="2:38">
      <c r="B40" s="61" t="s">
        <v>279</v>
      </c>
      <c r="C40" s="62">
        <v>12</v>
      </c>
      <c r="D40" s="62">
        <v>0</v>
      </c>
      <c r="E40" s="62">
        <v>404</v>
      </c>
      <c r="F40" s="61">
        <v>447</v>
      </c>
      <c r="G40" s="62">
        <v>2524935</v>
      </c>
      <c r="H40" s="62">
        <v>2447220</v>
      </c>
      <c r="I40" s="62">
        <v>245765</v>
      </c>
      <c r="J40" s="62">
        <v>87287</v>
      </c>
      <c r="K40" s="62">
        <v>-103242</v>
      </c>
      <c r="L40" s="62">
        <v>2706528</v>
      </c>
      <c r="M40" s="62">
        <v>2351261</v>
      </c>
      <c r="N40" s="62">
        <v>2232899</v>
      </c>
      <c r="O40" s="62">
        <v>2871640</v>
      </c>
      <c r="P40" s="62">
        <v>181426</v>
      </c>
      <c r="Q40" s="62">
        <v>75810</v>
      </c>
      <c r="R40" s="62">
        <v>0</v>
      </c>
      <c r="S40" s="62">
        <v>0</v>
      </c>
      <c r="T40" s="62">
        <v>-114713</v>
      </c>
      <c r="U40" s="62">
        <v>-64808</v>
      </c>
      <c r="V40" s="62">
        <v>0</v>
      </c>
      <c r="W40" s="62"/>
      <c r="X40" s="62">
        <v>-11471</v>
      </c>
      <c r="Y40" s="62">
        <v>0</v>
      </c>
      <c r="Z40" s="62">
        <v>103242</v>
      </c>
      <c r="AA40" s="62">
        <v>0</v>
      </c>
      <c r="AB40" s="62">
        <v>0</v>
      </c>
      <c r="AC40" s="62">
        <v>-11471</v>
      </c>
      <c r="AD40" s="62">
        <v>-11471</v>
      </c>
      <c r="AE40" s="62">
        <v>-11471</v>
      </c>
      <c r="AF40" s="62">
        <v>-11471</v>
      </c>
      <c r="AG40" s="62">
        <v>-11471</v>
      </c>
      <c r="AH40" s="62">
        <v>-45887</v>
      </c>
      <c r="AI40" s="63">
        <v>10</v>
      </c>
      <c r="AL40" s="64"/>
    </row>
    <row r="41" spans="2:38">
      <c r="B41" s="61" t="s">
        <v>280</v>
      </c>
      <c r="C41" s="62">
        <v>9</v>
      </c>
      <c r="D41" s="62">
        <v>0</v>
      </c>
      <c r="E41" s="62">
        <v>166</v>
      </c>
      <c r="F41" s="61">
        <v>172</v>
      </c>
      <c r="G41" s="62">
        <v>1572271</v>
      </c>
      <c r="H41" s="62">
        <v>1594443</v>
      </c>
      <c r="I41" s="62">
        <v>133480</v>
      </c>
      <c r="J41" s="62">
        <v>91392</v>
      </c>
      <c r="K41" s="62">
        <v>-68504</v>
      </c>
      <c r="L41" s="62">
        <v>1691842</v>
      </c>
      <c r="M41" s="62">
        <v>1459657</v>
      </c>
      <c r="N41" s="62">
        <v>1393327</v>
      </c>
      <c r="O41" s="62">
        <v>1786751</v>
      </c>
      <c r="P41" s="62">
        <v>92554</v>
      </c>
      <c r="Q41" s="62">
        <v>47988</v>
      </c>
      <c r="R41" s="62">
        <v>0</v>
      </c>
      <c r="S41" s="62">
        <v>0</v>
      </c>
      <c r="T41" s="62">
        <v>-75566</v>
      </c>
      <c r="U41" s="62">
        <v>-87148</v>
      </c>
      <c r="V41" s="62">
        <v>0</v>
      </c>
      <c r="W41" s="62"/>
      <c r="X41" s="62">
        <v>-7062</v>
      </c>
      <c r="Y41" s="62">
        <v>0</v>
      </c>
      <c r="Z41" s="62">
        <v>68504</v>
      </c>
      <c r="AA41" s="62">
        <v>0</v>
      </c>
      <c r="AB41" s="62">
        <v>0</v>
      </c>
      <c r="AC41" s="62">
        <v>-7062</v>
      </c>
      <c r="AD41" s="62">
        <v>-7062</v>
      </c>
      <c r="AE41" s="62">
        <v>-7062</v>
      </c>
      <c r="AF41" s="62">
        <v>-7062</v>
      </c>
      <c r="AG41" s="62">
        <v>-7062</v>
      </c>
      <c r="AH41" s="62">
        <v>-33194</v>
      </c>
      <c r="AI41" s="63">
        <v>10.7</v>
      </c>
      <c r="AL41" s="64"/>
    </row>
    <row r="42" spans="2:38">
      <c r="B42" s="61" t="s">
        <v>281</v>
      </c>
      <c r="C42" s="62">
        <v>30</v>
      </c>
      <c r="D42" s="62">
        <v>0</v>
      </c>
      <c r="E42" s="62">
        <v>271</v>
      </c>
      <c r="F42" s="61">
        <v>290</v>
      </c>
      <c r="G42" s="62">
        <v>4784594</v>
      </c>
      <c r="H42" s="62">
        <v>4887238</v>
      </c>
      <c r="I42" s="62">
        <v>396923</v>
      </c>
      <c r="J42" s="62">
        <v>333823</v>
      </c>
      <c r="K42" s="62">
        <v>-187905</v>
      </c>
      <c r="L42" s="62">
        <v>5112597</v>
      </c>
      <c r="M42" s="62">
        <v>4469544</v>
      </c>
      <c r="N42" s="62">
        <v>4263318</v>
      </c>
      <c r="O42" s="62">
        <v>5399128</v>
      </c>
      <c r="P42" s="62">
        <v>271269</v>
      </c>
      <c r="Q42" s="62">
        <v>146078</v>
      </c>
      <c r="R42" s="62">
        <v>0</v>
      </c>
      <c r="S42" s="62">
        <v>0</v>
      </c>
      <c r="T42" s="62">
        <v>-208329</v>
      </c>
      <c r="U42" s="62">
        <v>-311662</v>
      </c>
      <c r="V42" s="62">
        <v>0</v>
      </c>
      <c r="W42" s="62"/>
      <c r="X42" s="62">
        <v>-20424</v>
      </c>
      <c r="Y42" s="62">
        <v>0</v>
      </c>
      <c r="Z42" s="62">
        <v>187905</v>
      </c>
      <c r="AA42" s="62">
        <v>0</v>
      </c>
      <c r="AB42" s="62">
        <v>0</v>
      </c>
      <c r="AC42" s="62">
        <v>-20424</v>
      </c>
      <c r="AD42" s="62">
        <v>-20424</v>
      </c>
      <c r="AE42" s="62">
        <v>-20424</v>
      </c>
      <c r="AF42" s="62">
        <v>-20424</v>
      </c>
      <c r="AG42" s="62">
        <v>-20424</v>
      </c>
      <c r="AH42" s="62">
        <v>-85785</v>
      </c>
      <c r="AI42" s="63">
        <v>10.199999999999999</v>
      </c>
      <c r="AL42" s="64"/>
    </row>
    <row r="43" spans="2:38">
      <c r="B43" s="61" t="s">
        <v>282</v>
      </c>
      <c r="C43" s="62">
        <v>30</v>
      </c>
      <c r="D43" s="62">
        <v>0</v>
      </c>
      <c r="E43" s="62">
        <v>599</v>
      </c>
      <c r="F43" s="61">
        <v>649</v>
      </c>
      <c r="G43" s="62">
        <v>11915237</v>
      </c>
      <c r="H43" s="62">
        <v>11724524</v>
      </c>
      <c r="I43" s="62">
        <v>990115</v>
      </c>
      <c r="J43" s="62">
        <v>408418</v>
      </c>
      <c r="K43" s="62">
        <v>-487514</v>
      </c>
      <c r="L43" s="62">
        <v>12774687</v>
      </c>
      <c r="M43" s="62">
        <v>11092187</v>
      </c>
      <c r="N43" s="62">
        <v>10574402</v>
      </c>
      <c r="O43" s="62">
        <v>13492722</v>
      </c>
      <c r="P43" s="62">
        <v>690876</v>
      </c>
      <c r="Q43" s="62">
        <v>357976</v>
      </c>
      <c r="R43" s="62">
        <v>0</v>
      </c>
      <c r="S43" s="62">
        <v>0</v>
      </c>
      <c r="T43" s="62">
        <v>-546251</v>
      </c>
      <c r="U43" s="62">
        <v>-311888</v>
      </c>
      <c r="V43" s="62">
        <v>0</v>
      </c>
      <c r="W43" s="62"/>
      <c r="X43" s="62">
        <v>-58737</v>
      </c>
      <c r="Y43" s="62">
        <v>0</v>
      </c>
      <c r="Z43" s="62">
        <v>487514</v>
      </c>
      <c r="AA43" s="62">
        <v>0</v>
      </c>
      <c r="AB43" s="62">
        <v>0</v>
      </c>
      <c r="AC43" s="62">
        <v>-58737</v>
      </c>
      <c r="AD43" s="62">
        <v>-58737</v>
      </c>
      <c r="AE43" s="62">
        <v>-58737</v>
      </c>
      <c r="AF43" s="62">
        <v>-58737</v>
      </c>
      <c r="AG43" s="62">
        <v>-58737</v>
      </c>
      <c r="AH43" s="62">
        <v>-193829</v>
      </c>
      <c r="AI43" s="63">
        <v>9.3000000000000007</v>
      </c>
      <c r="AL43" s="64"/>
    </row>
    <row r="44" spans="2:38">
      <c r="B44" s="61" t="s">
        <v>283</v>
      </c>
      <c r="C44" s="62">
        <v>90</v>
      </c>
      <c r="D44" s="62">
        <v>0</v>
      </c>
      <c r="E44" s="62">
        <v>520</v>
      </c>
      <c r="F44" s="61">
        <v>544</v>
      </c>
      <c r="G44" s="62">
        <v>14681153</v>
      </c>
      <c r="H44" s="62">
        <v>14951075</v>
      </c>
      <c r="I44" s="62">
        <v>1198048</v>
      </c>
      <c r="J44" s="62">
        <v>1100681</v>
      </c>
      <c r="K44" s="62">
        <v>-490416</v>
      </c>
      <c r="L44" s="62">
        <v>15552548</v>
      </c>
      <c r="M44" s="62">
        <v>13843379</v>
      </c>
      <c r="N44" s="62">
        <v>13302827</v>
      </c>
      <c r="O44" s="62">
        <v>16284652</v>
      </c>
      <c r="P44" s="62">
        <v>815623</v>
      </c>
      <c r="Q44" s="62">
        <v>446115</v>
      </c>
      <c r="R44" s="62">
        <v>0</v>
      </c>
      <c r="S44" s="62">
        <v>0</v>
      </c>
      <c r="T44" s="62">
        <v>-554106</v>
      </c>
      <c r="U44" s="62">
        <v>-977554</v>
      </c>
      <c r="V44" s="62">
        <v>0</v>
      </c>
      <c r="W44" s="62"/>
      <c r="X44" s="62">
        <v>-63690</v>
      </c>
      <c r="Y44" s="62">
        <v>0</v>
      </c>
      <c r="Z44" s="62">
        <v>490416</v>
      </c>
      <c r="AA44" s="62">
        <v>0</v>
      </c>
      <c r="AB44" s="62">
        <v>0</v>
      </c>
      <c r="AC44" s="62">
        <v>-63690</v>
      </c>
      <c r="AD44" s="62">
        <v>-63690</v>
      </c>
      <c r="AE44" s="62">
        <v>-63690</v>
      </c>
      <c r="AF44" s="62">
        <v>-63690</v>
      </c>
      <c r="AG44" s="62">
        <v>-63690</v>
      </c>
      <c r="AH44" s="62">
        <v>-171966</v>
      </c>
      <c r="AI44" s="63">
        <v>8.6999999999999993</v>
      </c>
      <c r="AL44" s="64"/>
    </row>
    <row r="45" spans="2:38">
      <c r="B45" s="61" t="s">
        <v>284</v>
      </c>
      <c r="C45" s="62">
        <v>0</v>
      </c>
      <c r="D45" s="62">
        <v>0</v>
      </c>
      <c r="E45" s="62">
        <v>57</v>
      </c>
      <c r="F45" s="61">
        <v>58</v>
      </c>
      <c r="G45" s="62">
        <v>147764</v>
      </c>
      <c r="H45" s="62">
        <v>132652</v>
      </c>
      <c r="I45" s="62">
        <v>26679</v>
      </c>
      <c r="J45" s="62">
        <v>43</v>
      </c>
      <c r="K45" s="62">
        <v>-11567</v>
      </c>
      <c r="L45" s="62">
        <v>167709</v>
      </c>
      <c r="M45" s="62">
        <v>129698</v>
      </c>
      <c r="N45" s="62">
        <v>117669</v>
      </c>
      <c r="O45" s="62">
        <v>186043</v>
      </c>
      <c r="P45" s="62">
        <v>22950</v>
      </c>
      <c r="Q45" s="62">
        <v>4544</v>
      </c>
      <c r="R45" s="62">
        <v>0</v>
      </c>
      <c r="S45" s="62">
        <v>0</v>
      </c>
      <c r="T45" s="62">
        <v>-12382</v>
      </c>
      <c r="U45" s="62">
        <v>0</v>
      </c>
      <c r="V45" s="62">
        <v>0</v>
      </c>
      <c r="W45" s="62"/>
      <c r="X45" s="62">
        <v>-815</v>
      </c>
      <c r="Y45" s="62">
        <v>0</v>
      </c>
      <c r="Z45" s="62">
        <v>11567</v>
      </c>
      <c r="AA45" s="62">
        <v>0</v>
      </c>
      <c r="AB45" s="62">
        <v>0</v>
      </c>
      <c r="AC45" s="62">
        <v>-815</v>
      </c>
      <c r="AD45" s="62">
        <v>-815</v>
      </c>
      <c r="AE45" s="62">
        <v>-815</v>
      </c>
      <c r="AF45" s="62">
        <v>-815</v>
      </c>
      <c r="AG45" s="62">
        <v>-815</v>
      </c>
      <c r="AH45" s="62">
        <v>-7492</v>
      </c>
      <c r="AI45" s="63">
        <v>15.2</v>
      </c>
      <c r="AL45" s="64"/>
    </row>
    <row r="46" spans="2:38">
      <c r="B46" s="61" t="s">
        <v>285</v>
      </c>
      <c r="C46" s="62">
        <v>0</v>
      </c>
      <c r="D46" s="62">
        <v>0</v>
      </c>
      <c r="E46" s="62">
        <v>0</v>
      </c>
      <c r="F46" s="61">
        <v>0</v>
      </c>
      <c r="G46" s="62">
        <v>0</v>
      </c>
      <c r="H46" s="62">
        <v>0</v>
      </c>
      <c r="I46" s="62">
        <v>0</v>
      </c>
      <c r="J46" s="62">
        <v>0</v>
      </c>
      <c r="K46" s="62">
        <v>0</v>
      </c>
      <c r="L46" s="62">
        <v>0</v>
      </c>
      <c r="M46" s="62">
        <v>0</v>
      </c>
      <c r="N46" s="62">
        <v>0</v>
      </c>
      <c r="O46" s="62">
        <v>0</v>
      </c>
      <c r="P46" s="62">
        <v>0</v>
      </c>
      <c r="Q46" s="62">
        <v>0</v>
      </c>
      <c r="R46" s="62">
        <v>0</v>
      </c>
      <c r="S46" s="62">
        <v>0</v>
      </c>
      <c r="T46" s="62">
        <v>0</v>
      </c>
      <c r="U46" s="62">
        <v>0</v>
      </c>
      <c r="V46" s="62">
        <v>0</v>
      </c>
      <c r="W46" s="62"/>
      <c r="X46" s="62">
        <v>0</v>
      </c>
      <c r="Y46" s="62">
        <v>0</v>
      </c>
      <c r="Z46" s="62">
        <v>0</v>
      </c>
      <c r="AA46" s="62">
        <v>0</v>
      </c>
      <c r="AB46" s="62">
        <v>0</v>
      </c>
      <c r="AC46" s="62">
        <v>0</v>
      </c>
      <c r="AD46" s="62">
        <v>0</v>
      </c>
      <c r="AE46" s="62">
        <v>0</v>
      </c>
      <c r="AF46" s="62">
        <v>0</v>
      </c>
      <c r="AG46" s="62">
        <v>0</v>
      </c>
      <c r="AH46" s="62">
        <v>0</v>
      </c>
      <c r="AI46" s="63">
        <v>1</v>
      </c>
      <c r="AL46" s="64"/>
    </row>
    <row r="47" spans="2:38">
      <c r="B47" s="61" t="s">
        <v>286</v>
      </c>
      <c r="C47" s="62">
        <v>0</v>
      </c>
      <c r="D47" s="62">
        <v>0</v>
      </c>
      <c r="E47" s="62">
        <v>0</v>
      </c>
      <c r="F47" s="61">
        <v>0</v>
      </c>
      <c r="G47" s="62">
        <v>0</v>
      </c>
      <c r="H47" s="62">
        <v>0</v>
      </c>
      <c r="I47" s="62">
        <v>0</v>
      </c>
      <c r="J47" s="62">
        <v>0</v>
      </c>
      <c r="K47" s="62">
        <v>0</v>
      </c>
      <c r="L47" s="62">
        <v>0</v>
      </c>
      <c r="M47" s="62">
        <v>0</v>
      </c>
      <c r="N47" s="62">
        <v>0</v>
      </c>
      <c r="O47" s="62">
        <v>0</v>
      </c>
      <c r="P47" s="62">
        <v>0</v>
      </c>
      <c r="Q47" s="62">
        <v>0</v>
      </c>
      <c r="R47" s="62">
        <v>0</v>
      </c>
      <c r="S47" s="62">
        <v>0</v>
      </c>
      <c r="T47" s="62">
        <v>0</v>
      </c>
      <c r="U47" s="62">
        <v>0</v>
      </c>
      <c r="V47" s="62">
        <v>0</v>
      </c>
      <c r="W47" s="62"/>
      <c r="X47" s="62">
        <v>0</v>
      </c>
      <c r="Y47" s="62">
        <v>0</v>
      </c>
      <c r="Z47" s="62">
        <v>0</v>
      </c>
      <c r="AA47" s="62">
        <v>0</v>
      </c>
      <c r="AB47" s="62">
        <v>0</v>
      </c>
      <c r="AC47" s="62">
        <v>0</v>
      </c>
      <c r="AD47" s="62">
        <v>0</v>
      </c>
      <c r="AE47" s="62">
        <v>0</v>
      </c>
      <c r="AF47" s="62">
        <v>0</v>
      </c>
      <c r="AG47" s="62">
        <v>0</v>
      </c>
      <c r="AH47" s="62">
        <v>0</v>
      </c>
      <c r="AI47" s="63">
        <v>1</v>
      </c>
      <c r="AL47" s="64"/>
    </row>
    <row r="48" spans="2:38">
      <c r="B48" s="61" t="s">
        <v>287</v>
      </c>
      <c r="C48" s="62">
        <v>17</v>
      </c>
      <c r="D48" s="62">
        <v>0</v>
      </c>
      <c r="E48" s="62">
        <v>376</v>
      </c>
      <c r="F48" s="61">
        <v>391</v>
      </c>
      <c r="G48" s="62">
        <v>3290160</v>
      </c>
      <c r="H48" s="62">
        <v>3310917</v>
      </c>
      <c r="I48" s="62">
        <v>288353</v>
      </c>
      <c r="J48" s="62">
        <v>134122</v>
      </c>
      <c r="K48" s="62">
        <v>-173839</v>
      </c>
      <c r="L48" s="62">
        <v>3590949</v>
      </c>
      <c r="M48" s="62">
        <v>3009397</v>
      </c>
      <c r="N48" s="62">
        <v>2849021</v>
      </c>
      <c r="O48" s="62">
        <v>3824354</v>
      </c>
      <c r="P48" s="62">
        <v>203794</v>
      </c>
      <c r="Q48" s="62">
        <v>100655</v>
      </c>
      <c r="R48" s="62">
        <v>0</v>
      </c>
      <c r="S48" s="62">
        <v>0</v>
      </c>
      <c r="T48" s="62">
        <v>-189935</v>
      </c>
      <c r="U48" s="62">
        <v>-135271</v>
      </c>
      <c r="V48" s="62">
        <v>0</v>
      </c>
      <c r="W48" s="62"/>
      <c r="X48" s="62">
        <v>-16096</v>
      </c>
      <c r="Y48" s="62">
        <v>0</v>
      </c>
      <c r="Z48" s="62">
        <v>173839</v>
      </c>
      <c r="AA48" s="62">
        <v>0</v>
      </c>
      <c r="AB48" s="62">
        <v>0</v>
      </c>
      <c r="AC48" s="62">
        <v>-16096</v>
      </c>
      <c r="AD48" s="62">
        <v>-16096</v>
      </c>
      <c r="AE48" s="62">
        <v>-16096</v>
      </c>
      <c r="AF48" s="62">
        <v>-16096</v>
      </c>
      <c r="AG48" s="62">
        <v>-16096</v>
      </c>
      <c r="AH48" s="62">
        <v>-93359</v>
      </c>
      <c r="AI48" s="63">
        <v>11.8</v>
      </c>
      <c r="AL48" s="64"/>
    </row>
    <row r="49" spans="2:38">
      <c r="B49" s="61" t="s">
        <v>288</v>
      </c>
      <c r="C49" s="62">
        <v>58</v>
      </c>
      <c r="D49" s="62">
        <v>0</v>
      </c>
      <c r="E49" s="62">
        <v>443</v>
      </c>
      <c r="F49" s="61">
        <v>488</v>
      </c>
      <c r="G49" s="62">
        <v>10741682</v>
      </c>
      <c r="H49" s="62">
        <v>10994769</v>
      </c>
      <c r="I49" s="62">
        <v>797447</v>
      </c>
      <c r="J49" s="62">
        <v>708784</v>
      </c>
      <c r="K49" s="62">
        <v>-407288</v>
      </c>
      <c r="L49" s="62">
        <v>11462479</v>
      </c>
      <c r="M49" s="62">
        <v>10049982</v>
      </c>
      <c r="N49" s="62">
        <v>9637725</v>
      </c>
      <c r="O49" s="62">
        <v>12032435</v>
      </c>
      <c r="P49" s="62">
        <v>522102</v>
      </c>
      <c r="Q49" s="62">
        <v>326901</v>
      </c>
      <c r="R49" s="62">
        <v>0</v>
      </c>
      <c r="S49" s="62">
        <v>0</v>
      </c>
      <c r="T49" s="62">
        <v>-458844</v>
      </c>
      <c r="U49" s="62">
        <v>-643246</v>
      </c>
      <c r="V49" s="62">
        <v>0</v>
      </c>
      <c r="W49" s="62"/>
      <c r="X49" s="62">
        <v>-51556</v>
      </c>
      <c r="Y49" s="62">
        <v>0</v>
      </c>
      <c r="Z49" s="62">
        <v>407288</v>
      </c>
      <c r="AA49" s="62">
        <v>0</v>
      </c>
      <c r="AB49" s="62">
        <v>0</v>
      </c>
      <c r="AC49" s="62">
        <v>-51556</v>
      </c>
      <c r="AD49" s="62">
        <v>-51556</v>
      </c>
      <c r="AE49" s="62">
        <v>-51556</v>
      </c>
      <c r="AF49" s="62">
        <v>-51556</v>
      </c>
      <c r="AG49" s="62">
        <v>-51556</v>
      </c>
      <c r="AH49" s="62">
        <v>-149508</v>
      </c>
      <c r="AI49" s="63">
        <v>8.9</v>
      </c>
      <c r="AL49" s="64"/>
    </row>
    <row r="50" spans="2:38">
      <c r="B50" s="61" t="s">
        <v>289</v>
      </c>
      <c r="C50" s="62">
        <v>0</v>
      </c>
      <c r="D50" s="62">
        <v>0</v>
      </c>
      <c r="E50" s="62">
        <v>33</v>
      </c>
      <c r="F50" s="61">
        <v>33</v>
      </c>
      <c r="G50" s="62">
        <v>138034</v>
      </c>
      <c r="H50" s="62">
        <v>122748</v>
      </c>
      <c r="I50" s="62">
        <v>25390</v>
      </c>
      <c r="J50" s="62">
        <v>53</v>
      </c>
      <c r="K50" s="62">
        <v>-10104</v>
      </c>
      <c r="L50" s="62">
        <v>155368</v>
      </c>
      <c r="M50" s="62">
        <v>122198</v>
      </c>
      <c r="N50" s="62">
        <v>111462</v>
      </c>
      <c r="O50" s="62">
        <v>171293</v>
      </c>
      <c r="P50" s="62">
        <v>21904</v>
      </c>
      <c r="Q50" s="62">
        <v>4224</v>
      </c>
      <c r="R50" s="62">
        <v>0</v>
      </c>
      <c r="S50" s="62">
        <v>0</v>
      </c>
      <c r="T50" s="62">
        <v>-10842</v>
      </c>
      <c r="U50" s="62">
        <v>0</v>
      </c>
      <c r="V50" s="62">
        <v>0</v>
      </c>
      <c r="W50" s="62"/>
      <c r="X50" s="62">
        <v>-738</v>
      </c>
      <c r="Y50" s="62">
        <v>0</v>
      </c>
      <c r="Z50" s="62">
        <v>10104</v>
      </c>
      <c r="AA50" s="62">
        <v>0</v>
      </c>
      <c r="AB50" s="62">
        <v>0</v>
      </c>
      <c r="AC50" s="62">
        <v>-738</v>
      </c>
      <c r="AD50" s="62">
        <v>-738</v>
      </c>
      <c r="AE50" s="62">
        <v>-738</v>
      </c>
      <c r="AF50" s="62">
        <v>-738</v>
      </c>
      <c r="AG50" s="62">
        <v>-738</v>
      </c>
      <c r="AH50" s="62">
        <v>-6414</v>
      </c>
      <c r="AI50" s="63">
        <v>14.7</v>
      </c>
      <c r="AL50" s="64"/>
    </row>
    <row r="51" spans="2:38">
      <c r="B51" s="61" t="s">
        <v>290</v>
      </c>
      <c r="C51" s="62">
        <v>29</v>
      </c>
      <c r="D51" s="62">
        <v>0</v>
      </c>
      <c r="E51" s="62">
        <v>392</v>
      </c>
      <c r="F51" s="61">
        <v>407</v>
      </c>
      <c r="G51" s="62">
        <v>9542819</v>
      </c>
      <c r="H51" s="62">
        <v>9554298</v>
      </c>
      <c r="I51" s="62">
        <v>736501</v>
      </c>
      <c r="J51" s="62">
        <v>393213</v>
      </c>
      <c r="K51" s="62">
        <v>-404579</v>
      </c>
      <c r="L51" s="62">
        <v>10251101</v>
      </c>
      <c r="M51" s="62">
        <v>8863613</v>
      </c>
      <c r="N51" s="62">
        <v>8451519</v>
      </c>
      <c r="O51" s="62">
        <v>10829783</v>
      </c>
      <c r="P51" s="62">
        <v>494077</v>
      </c>
      <c r="Q51" s="62">
        <v>288399</v>
      </c>
      <c r="R51" s="62">
        <v>0</v>
      </c>
      <c r="S51" s="62">
        <v>0</v>
      </c>
      <c r="T51" s="62">
        <v>-450554</v>
      </c>
      <c r="U51" s="62">
        <v>-343401</v>
      </c>
      <c r="V51" s="62">
        <v>0</v>
      </c>
      <c r="W51" s="62"/>
      <c r="X51" s="62">
        <v>-45975</v>
      </c>
      <c r="Y51" s="62">
        <v>0</v>
      </c>
      <c r="Z51" s="62">
        <v>404579</v>
      </c>
      <c r="AA51" s="62">
        <v>0</v>
      </c>
      <c r="AB51" s="62">
        <v>0</v>
      </c>
      <c r="AC51" s="62">
        <v>-45975</v>
      </c>
      <c r="AD51" s="62">
        <v>-45975</v>
      </c>
      <c r="AE51" s="62">
        <v>-45975</v>
      </c>
      <c r="AF51" s="62">
        <v>-45975</v>
      </c>
      <c r="AG51" s="62">
        <v>-45975</v>
      </c>
      <c r="AH51" s="62">
        <v>-174704</v>
      </c>
      <c r="AI51" s="63">
        <v>9.8000000000000007</v>
      </c>
      <c r="AL51" s="64"/>
    </row>
    <row r="52" spans="2:38">
      <c r="B52" s="61" t="s">
        <v>291</v>
      </c>
      <c r="C52" s="62">
        <v>109</v>
      </c>
      <c r="D52" s="62">
        <v>0</v>
      </c>
      <c r="E52" s="62">
        <v>676</v>
      </c>
      <c r="F52" s="61">
        <v>723</v>
      </c>
      <c r="G52" s="62">
        <v>23971168</v>
      </c>
      <c r="H52" s="62">
        <v>24039821</v>
      </c>
      <c r="I52" s="62">
        <v>2080198</v>
      </c>
      <c r="J52" s="62">
        <v>1265925</v>
      </c>
      <c r="K52" s="62">
        <v>-987541</v>
      </c>
      <c r="L52" s="62">
        <v>25704324</v>
      </c>
      <c r="M52" s="62">
        <v>22315075</v>
      </c>
      <c r="N52" s="62">
        <v>21231226</v>
      </c>
      <c r="O52" s="62">
        <v>27223012</v>
      </c>
      <c r="P52" s="62">
        <v>1465896</v>
      </c>
      <c r="Q52" s="62">
        <v>727812</v>
      </c>
      <c r="R52" s="62">
        <v>0</v>
      </c>
      <c r="S52" s="62">
        <v>0</v>
      </c>
      <c r="T52" s="62">
        <v>-1101051</v>
      </c>
      <c r="U52" s="62">
        <v>-1161310</v>
      </c>
      <c r="V52" s="62">
        <v>0</v>
      </c>
      <c r="W52" s="62"/>
      <c r="X52" s="62">
        <v>-113510</v>
      </c>
      <c r="Y52" s="62">
        <v>0</v>
      </c>
      <c r="Z52" s="62">
        <v>987541</v>
      </c>
      <c r="AA52" s="62">
        <v>0</v>
      </c>
      <c r="AB52" s="62">
        <v>0</v>
      </c>
      <c r="AC52" s="62">
        <v>-113510</v>
      </c>
      <c r="AD52" s="62">
        <v>-113510</v>
      </c>
      <c r="AE52" s="62">
        <v>-113510</v>
      </c>
      <c r="AF52" s="62">
        <v>-113510</v>
      </c>
      <c r="AG52" s="62">
        <v>-113510</v>
      </c>
      <c r="AH52" s="62">
        <v>-419991</v>
      </c>
      <c r="AI52" s="63">
        <v>9.6999999999999993</v>
      </c>
      <c r="AL52" s="64"/>
    </row>
    <row r="53" spans="2:38">
      <c r="B53" s="61" t="s">
        <v>292</v>
      </c>
      <c r="C53" s="62">
        <v>55</v>
      </c>
      <c r="D53" s="62">
        <v>0</v>
      </c>
      <c r="E53" s="62">
        <v>316</v>
      </c>
      <c r="F53" s="61">
        <v>327</v>
      </c>
      <c r="G53" s="62">
        <v>8893279</v>
      </c>
      <c r="H53" s="62">
        <v>9214812</v>
      </c>
      <c r="I53" s="62">
        <v>644588</v>
      </c>
      <c r="J53" s="62">
        <v>628111</v>
      </c>
      <c r="K53" s="62">
        <v>-364138</v>
      </c>
      <c r="L53" s="62">
        <v>9537940</v>
      </c>
      <c r="M53" s="62">
        <v>8284596</v>
      </c>
      <c r="N53" s="62">
        <v>7944971</v>
      </c>
      <c r="O53" s="62">
        <v>10015432</v>
      </c>
      <c r="P53" s="62">
        <v>416548</v>
      </c>
      <c r="Q53" s="62">
        <v>272447</v>
      </c>
      <c r="R53" s="62">
        <v>0</v>
      </c>
      <c r="S53" s="62">
        <v>0</v>
      </c>
      <c r="T53" s="62">
        <v>-408545</v>
      </c>
      <c r="U53" s="62">
        <v>-601983</v>
      </c>
      <c r="V53" s="62">
        <v>0</v>
      </c>
      <c r="W53" s="62"/>
      <c r="X53" s="62">
        <v>-44407</v>
      </c>
      <c r="Y53" s="62">
        <v>0</v>
      </c>
      <c r="Z53" s="62">
        <v>364138</v>
      </c>
      <c r="AA53" s="62">
        <v>0</v>
      </c>
      <c r="AB53" s="62">
        <v>0</v>
      </c>
      <c r="AC53" s="62">
        <v>-44407</v>
      </c>
      <c r="AD53" s="62">
        <v>-44407</v>
      </c>
      <c r="AE53" s="62">
        <v>-44407</v>
      </c>
      <c r="AF53" s="62">
        <v>-44407</v>
      </c>
      <c r="AG53" s="62">
        <v>-44407</v>
      </c>
      <c r="AH53" s="62">
        <v>-142103</v>
      </c>
      <c r="AI53" s="63">
        <v>9.1999999999999993</v>
      </c>
      <c r="AL53" s="64"/>
    </row>
    <row r="54" spans="2:38">
      <c r="B54" s="61" t="s">
        <v>293</v>
      </c>
      <c r="C54" s="62">
        <v>20</v>
      </c>
      <c r="D54" s="62">
        <v>0</v>
      </c>
      <c r="E54" s="62">
        <v>221</v>
      </c>
      <c r="F54" s="61">
        <v>224</v>
      </c>
      <c r="G54" s="62">
        <v>2443710</v>
      </c>
      <c r="H54" s="62">
        <v>2504410</v>
      </c>
      <c r="I54" s="62">
        <v>193107</v>
      </c>
      <c r="J54" s="62">
        <v>169610</v>
      </c>
      <c r="K54" s="62">
        <v>-95048</v>
      </c>
      <c r="L54" s="62">
        <v>2609376</v>
      </c>
      <c r="M54" s="62">
        <v>2285583</v>
      </c>
      <c r="N54" s="62">
        <v>2188871</v>
      </c>
      <c r="O54" s="62">
        <v>2745493</v>
      </c>
      <c r="P54" s="62">
        <v>128975</v>
      </c>
      <c r="Q54" s="62">
        <v>74577</v>
      </c>
      <c r="R54" s="62">
        <v>0</v>
      </c>
      <c r="S54" s="62">
        <v>0</v>
      </c>
      <c r="T54" s="62">
        <v>-105493</v>
      </c>
      <c r="U54" s="62">
        <v>-158759</v>
      </c>
      <c r="V54" s="62">
        <v>0</v>
      </c>
      <c r="W54" s="62"/>
      <c r="X54" s="62">
        <v>-10445</v>
      </c>
      <c r="Y54" s="62">
        <v>0</v>
      </c>
      <c r="Z54" s="62">
        <v>95048</v>
      </c>
      <c r="AA54" s="62">
        <v>0</v>
      </c>
      <c r="AB54" s="62">
        <v>0</v>
      </c>
      <c r="AC54" s="62">
        <v>-10445</v>
      </c>
      <c r="AD54" s="62">
        <v>-10445</v>
      </c>
      <c r="AE54" s="62">
        <v>-10445</v>
      </c>
      <c r="AF54" s="62">
        <v>-10445</v>
      </c>
      <c r="AG54" s="62">
        <v>-10445</v>
      </c>
      <c r="AH54" s="62">
        <v>-42823</v>
      </c>
      <c r="AI54" s="63">
        <v>10.1</v>
      </c>
      <c r="AL54" s="64"/>
    </row>
    <row r="55" spans="2:38">
      <c r="B55" s="61" t="s">
        <v>294</v>
      </c>
      <c r="C55" s="62">
        <v>7</v>
      </c>
      <c r="D55" s="62">
        <v>0</v>
      </c>
      <c r="E55" s="62">
        <v>62</v>
      </c>
      <c r="F55" s="61">
        <v>64</v>
      </c>
      <c r="G55" s="62">
        <v>711788</v>
      </c>
      <c r="H55" s="62">
        <v>740588</v>
      </c>
      <c r="I55" s="62">
        <v>54103</v>
      </c>
      <c r="J55" s="62">
        <v>60021</v>
      </c>
      <c r="K55" s="62">
        <v>-26730</v>
      </c>
      <c r="L55" s="62">
        <v>758355</v>
      </c>
      <c r="M55" s="62">
        <v>667391</v>
      </c>
      <c r="N55" s="62">
        <v>641238</v>
      </c>
      <c r="O55" s="62">
        <v>794638</v>
      </c>
      <c r="P55" s="62">
        <v>35004</v>
      </c>
      <c r="Q55" s="62">
        <v>21827</v>
      </c>
      <c r="R55" s="62">
        <v>0</v>
      </c>
      <c r="S55" s="62">
        <v>0</v>
      </c>
      <c r="T55" s="62">
        <v>-29458</v>
      </c>
      <c r="U55" s="62">
        <v>-56173</v>
      </c>
      <c r="V55" s="62">
        <v>0</v>
      </c>
      <c r="W55" s="62"/>
      <c r="X55" s="62">
        <v>-2728</v>
      </c>
      <c r="Y55" s="62">
        <v>0</v>
      </c>
      <c r="Z55" s="62">
        <v>26730</v>
      </c>
      <c r="AA55" s="62">
        <v>0</v>
      </c>
      <c r="AB55" s="62">
        <v>0</v>
      </c>
      <c r="AC55" s="62">
        <v>-2728</v>
      </c>
      <c r="AD55" s="62">
        <v>-2728</v>
      </c>
      <c r="AE55" s="62">
        <v>-2728</v>
      </c>
      <c r="AF55" s="62">
        <v>-2728</v>
      </c>
      <c r="AG55" s="62">
        <v>-2728</v>
      </c>
      <c r="AH55" s="62">
        <v>-13090</v>
      </c>
      <c r="AI55" s="63">
        <v>10.8</v>
      </c>
      <c r="AL55" s="64"/>
    </row>
    <row r="56" spans="2:38">
      <c r="B56" s="61" t="s">
        <v>295</v>
      </c>
      <c r="C56" s="62">
        <v>139</v>
      </c>
      <c r="D56" s="62">
        <v>0</v>
      </c>
      <c r="E56" s="62">
        <v>944</v>
      </c>
      <c r="F56" s="61">
        <v>1001</v>
      </c>
      <c r="G56" s="62">
        <v>34837483</v>
      </c>
      <c r="H56" s="62">
        <v>34759943</v>
      </c>
      <c r="I56" s="62">
        <v>3083624</v>
      </c>
      <c r="J56" s="62">
        <v>1729244</v>
      </c>
      <c r="K56" s="62">
        <v>-1443725</v>
      </c>
      <c r="L56" s="62">
        <v>37371613</v>
      </c>
      <c r="M56" s="62">
        <v>32433019</v>
      </c>
      <c r="N56" s="62">
        <v>30908981</v>
      </c>
      <c r="O56" s="62">
        <v>39500894</v>
      </c>
      <c r="P56" s="62">
        <v>2191512</v>
      </c>
      <c r="Q56" s="62">
        <v>1056172</v>
      </c>
      <c r="R56" s="62">
        <v>0</v>
      </c>
      <c r="S56" s="62">
        <v>0</v>
      </c>
      <c r="T56" s="62">
        <v>-1607785</v>
      </c>
      <c r="U56" s="62">
        <v>-1562359</v>
      </c>
      <c r="V56" s="62">
        <v>0</v>
      </c>
      <c r="W56" s="62"/>
      <c r="X56" s="62">
        <v>-164060</v>
      </c>
      <c r="Y56" s="62">
        <v>0</v>
      </c>
      <c r="Z56" s="62">
        <v>1443725</v>
      </c>
      <c r="AA56" s="62">
        <v>0</v>
      </c>
      <c r="AB56" s="62">
        <v>0</v>
      </c>
      <c r="AC56" s="62">
        <v>-164060</v>
      </c>
      <c r="AD56" s="62">
        <v>-164060</v>
      </c>
      <c r="AE56" s="62">
        <v>-164060</v>
      </c>
      <c r="AF56" s="62">
        <v>-164060</v>
      </c>
      <c r="AG56" s="62">
        <v>-164060</v>
      </c>
      <c r="AH56" s="62">
        <v>-623425</v>
      </c>
      <c r="AI56" s="63">
        <v>9.8000000000000007</v>
      </c>
      <c r="AL56" s="64"/>
    </row>
    <row r="57" spans="2:38">
      <c r="B57" s="61" t="s">
        <v>296</v>
      </c>
      <c r="C57" s="62">
        <v>9</v>
      </c>
      <c r="D57" s="62">
        <v>0</v>
      </c>
      <c r="E57" s="62">
        <v>143</v>
      </c>
      <c r="F57" s="61">
        <v>150</v>
      </c>
      <c r="G57" s="62">
        <v>1342025</v>
      </c>
      <c r="H57" s="62">
        <v>1351743</v>
      </c>
      <c r="I57" s="62">
        <v>112151</v>
      </c>
      <c r="J57" s="62">
        <v>71874</v>
      </c>
      <c r="K57" s="62">
        <v>-59511</v>
      </c>
      <c r="L57" s="62">
        <v>1445166</v>
      </c>
      <c r="M57" s="62">
        <v>1245395</v>
      </c>
      <c r="N57" s="62">
        <v>1190746</v>
      </c>
      <c r="O57" s="62">
        <v>1522990</v>
      </c>
      <c r="P57" s="62">
        <v>77343</v>
      </c>
      <c r="Q57" s="62">
        <v>40819</v>
      </c>
      <c r="R57" s="62">
        <v>0</v>
      </c>
      <c r="S57" s="62">
        <v>0</v>
      </c>
      <c r="T57" s="62">
        <v>-65522</v>
      </c>
      <c r="U57" s="62">
        <v>-62358</v>
      </c>
      <c r="V57" s="62">
        <v>0</v>
      </c>
      <c r="W57" s="62"/>
      <c r="X57" s="62">
        <v>-6011</v>
      </c>
      <c r="Y57" s="62">
        <v>0</v>
      </c>
      <c r="Z57" s="62">
        <v>59511</v>
      </c>
      <c r="AA57" s="62">
        <v>0</v>
      </c>
      <c r="AB57" s="62">
        <v>0</v>
      </c>
      <c r="AC57" s="62">
        <v>-6011</v>
      </c>
      <c r="AD57" s="62">
        <v>-6011</v>
      </c>
      <c r="AE57" s="62">
        <v>-6011</v>
      </c>
      <c r="AF57" s="62">
        <v>-6011</v>
      </c>
      <c r="AG57" s="62">
        <v>-6011</v>
      </c>
      <c r="AH57" s="62">
        <v>-29456</v>
      </c>
      <c r="AI57" s="63">
        <v>10.9</v>
      </c>
      <c r="AL57" s="64"/>
    </row>
    <row r="58" spans="2:38">
      <c r="B58" s="61" t="s">
        <v>297</v>
      </c>
      <c r="C58" s="62">
        <v>32</v>
      </c>
      <c r="D58" s="62">
        <v>0</v>
      </c>
      <c r="E58" s="62">
        <v>424</v>
      </c>
      <c r="F58" s="61">
        <v>455</v>
      </c>
      <c r="G58" s="62">
        <v>4989590</v>
      </c>
      <c r="H58" s="62">
        <v>5057760</v>
      </c>
      <c r="I58" s="62">
        <v>385195</v>
      </c>
      <c r="J58" s="62">
        <v>271380</v>
      </c>
      <c r="K58" s="62">
        <v>-203231</v>
      </c>
      <c r="L58" s="62">
        <v>5345414</v>
      </c>
      <c r="M58" s="62">
        <v>4650029</v>
      </c>
      <c r="N58" s="62">
        <v>4445796</v>
      </c>
      <c r="O58" s="62">
        <v>5630582</v>
      </c>
      <c r="P58" s="62">
        <v>256757</v>
      </c>
      <c r="Q58" s="62">
        <v>151532</v>
      </c>
      <c r="R58" s="62">
        <v>0</v>
      </c>
      <c r="S58" s="62">
        <v>0</v>
      </c>
      <c r="T58" s="62">
        <v>-226325</v>
      </c>
      <c r="U58" s="62">
        <v>-250134</v>
      </c>
      <c r="V58" s="62">
        <v>0</v>
      </c>
      <c r="W58" s="62"/>
      <c r="X58" s="62">
        <v>-23094</v>
      </c>
      <c r="Y58" s="62">
        <v>0</v>
      </c>
      <c r="Z58" s="62">
        <v>203231</v>
      </c>
      <c r="AA58" s="62">
        <v>0</v>
      </c>
      <c r="AB58" s="62">
        <v>0</v>
      </c>
      <c r="AC58" s="62">
        <v>-23094</v>
      </c>
      <c r="AD58" s="62">
        <v>-23094</v>
      </c>
      <c r="AE58" s="62">
        <v>-23094</v>
      </c>
      <c r="AF58" s="62">
        <v>-23094</v>
      </c>
      <c r="AG58" s="62">
        <v>-23094</v>
      </c>
      <c r="AH58" s="62">
        <v>-87761</v>
      </c>
      <c r="AI58" s="63">
        <v>9.8000000000000007</v>
      </c>
      <c r="AL58" s="64"/>
    </row>
    <row r="59" spans="2:38">
      <c r="B59" s="61" t="s">
        <v>298</v>
      </c>
      <c r="C59" s="62">
        <v>52</v>
      </c>
      <c r="D59" s="62">
        <v>0</v>
      </c>
      <c r="E59" s="62">
        <v>375</v>
      </c>
      <c r="F59" s="61">
        <v>405</v>
      </c>
      <c r="G59" s="62">
        <v>11597300</v>
      </c>
      <c r="H59" s="62">
        <v>11614160</v>
      </c>
      <c r="I59" s="62">
        <v>954339</v>
      </c>
      <c r="J59" s="62">
        <v>637587</v>
      </c>
      <c r="K59" s="62">
        <v>-431572</v>
      </c>
      <c r="L59" s="62">
        <v>12362671</v>
      </c>
      <c r="M59" s="62">
        <v>10862425</v>
      </c>
      <c r="N59" s="62">
        <v>10392591</v>
      </c>
      <c r="O59" s="62">
        <v>13009517</v>
      </c>
      <c r="P59" s="62">
        <v>659166</v>
      </c>
      <c r="Q59" s="62">
        <v>350503</v>
      </c>
      <c r="R59" s="62">
        <v>0</v>
      </c>
      <c r="S59" s="62">
        <v>0</v>
      </c>
      <c r="T59" s="62">
        <v>-486902</v>
      </c>
      <c r="U59" s="62">
        <v>-539627</v>
      </c>
      <c r="V59" s="62">
        <v>0</v>
      </c>
      <c r="W59" s="62"/>
      <c r="X59" s="62">
        <v>-55330</v>
      </c>
      <c r="Y59" s="62">
        <v>0</v>
      </c>
      <c r="Z59" s="62">
        <v>431572</v>
      </c>
      <c r="AA59" s="62">
        <v>0</v>
      </c>
      <c r="AB59" s="62">
        <v>0</v>
      </c>
      <c r="AC59" s="62">
        <v>-55330</v>
      </c>
      <c r="AD59" s="62">
        <v>-55330</v>
      </c>
      <c r="AE59" s="62">
        <v>-55330</v>
      </c>
      <c r="AF59" s="62">
        <v>-55330</v>
      </c>
      <c r="AG59" s="62">
        <v>-55330</v>
      </c>
      <c r="AH59" s="62">
        <v>-154922</v>
      </c>
      <c r="AI59" s="63">
        <v>8.8000000000000007</v>
      </c>
      <c r="AL59" s="64"/>
    </row>
    <row r="60" spans="2:38">
      <c r="B60" s="61" t="s">
        <v>299</v>
      </c>
      <c r="C60" s="62">
        <v>0</v>
      </c>
      <c r="D60" s="62">
        <v>0</v>
      </c>
      <c r="E60" s="62">
        <v>0</v>
      </c>
      <c r="F60" s="61">
        <v>0</v>
      </c>
      <c r="G60" s="62">
        <v>0</v>
      </c>
      <c r="H60" s="62">
        <v>0</v>
      </c>
      <c r="I60" s="62">
        <v>0</v>
      </c>
      <c r="J60" s="62">
        <v>0</v>
      </c>
      <c r="K60" s="62">
        <v>0</v>
      </c>
      <c r="L60" s="62">
        <v>0</v>
      </c>
      <c r="M60" s="62">
        <v>0</v>
      </c>
      <c r="N60" s="62">
        <v>0</v>
      </c>
      <c r="O60" s="62">
        <v>0</v>
      </c>
      <c r="P60" s="62">
        <v>0</v>
      </c>
      <c r="Q60" s="62">
        <v>0</v>
      </c>
      <c r="R60" s="62">
        <v>0</v>
      </c>
      <c r="S60" s="62">
        <v>0</v>
      </c>
      <c r="T60" s="62">
        <v>0</v>
      </c>
      <c r="U60" s="62">
        <v>0</v>
      </c>
      <c r="V60" s="62">
        <v>0</v>
      </c>
      <c r="W60" s="62"/>
      <c r="X60" s="62">
        <v>0</v>
      </c>
      <c r="Y60" s="62">
        <v>0</v>
      </c>
      <c r="Z60" s="62">
        <v>0</v>
      </c>
      <c r="AA60" s="62">
        <v>0</v>
      </c>
      <c r="AB60" s="62">
        <v>0</v>
      </c>
      <c r="AC60" s="62">
        <v>0</v>
      </c>
      <c r="AD60" s="62">
        <v>0</v>
      </c>
      <c r="AE60" s="62">
        <v>0</v>
      </c>
      <c r="AF60" s="62">
        <v>0</v>
      </c>
      <c r="AG60" s="62">
        <v>0</v>
      </c>
      <c r="AH60" s="62">
        <v>0</v>
      </c>
      <c r="AI60" s="63">
        <v>1</v>
      </c>
      <c r="AL60" s="64"/>
    </row>
    <row r="61" spans="2:38">
      <c r="B61" s="61" t="s">
        <v>300</v>
      </c>
      <c r="C61" s="62">
        <v>87</v>
      </c>
      <c r="D61" s="62">
        <v>0</v>
      </c>
      <c r="E61" s="62">
        <v>931</v>
      </c>
      <c r="F61" s="61">
        <v>995</v>
      </c>
      <c r="G61" s="62">
        <v>15050896</v>
      </c>
      <c r="H61" s="62">
        <v>15292122</v>
      </c>
      <c r="I61" s="62">
        <v>1270787</v>
      </c>
      <c r="J61" s="62">
        <v>990826</v>
      </c>
      <c r="K61" s="62">
        <v>-590325</v>
      </c>
      <c r="L61" s="62">
        <v>16083143</v>
      </c>
      <c r="M61" s="62">
        <v>14065249</v>
      </c>
      <c r="N61" s="62">
        <v>13455418</v>
      </c>
      <c r="O61" s="62">
        <v>16932720</v>
      </c>
      <c r="P61" s="62">
        <v>877677</v>
      </c>
      <c r="Q61" s="62">
        <v>458702</v>
      </c>
      <c r="R61" s="62">
        <v>0</v>
      </c>
      <c r="S61" s="62">
        <v>0</v>
      </c>
      <c r="T61" s="62">
        <v>-655917</v>
      </c>
      <c r="U61" s="62">
        <v>-921688</v>
      </c>
      <c r="V61" s="62">
        <v>0</v>
      </c>
      <c r="W61" s="62"/>
      <c r="X61" s="62">
        <v>-65592</v>
      </c>
      <c r="Y61" s="62">
        <v>0</v>
      </c>
      <c r="Z61" s="62">
        <v>590325</v>
      </c>
      <c r="AA61" s="62">
        <v>0</v>
      </c>
      <c r="AB61" s="62">
        <v>0</v>
      </c>
      <c r="AC61" s="62">
        <v>-65592</v>
      </c>
      <c r="AD61" s="62">
        <v>-65592</v>
      </c>
      <c r="AE61" s="62">
        <v>-65592</v>
      </c>
      <c r="AF61" s="62">
        <v>-65592</v>
      </c>
      <c r="AG61" s="62">
        <v>-65592</v>
      </c>
      <c r="AH61" s="62">
        <v>-262365</v>
      </c>
      <c r="AI61" s="63">
        <v>10</v>
      </c>
      <c r="AL61" s="64"/>
    </row>
    <row r="62" spans="2:38">
      <c r="B62" s="61" t="s">
        <v>301</v>
      </c>
      <c r="C62" s="62">
        <v>21</v>
      </c>
      <c r="D62" s="62">
        <v>0</v>
      </c>
      <c r="E62" s="62">
        <v>352</v>
      </c>
      <c r="F62" s="61">
        <v>371</v>
      </c>
      <c r="G62" s="62">
        <v>3153310</v>
      </c>
      <c r="H62" s="62">
        <v>3187112</v>
      </c>
      <c r="I62" s="62">
        <v>280684</v>
      </c>
      <c r="J62" s="62">
        <v>203104</v>
      </c>
      <c r="K62" s="62">
        <v>-130863</v>
      </c>
      <c r="L62" s="62">
        <v>3381973</v>
      </c>
      <c r="M62" s="62">
        <v>2934224</v>
      </c>
      <c r="N62" s="62">
        <v>2787699</v>
      </c>
      <c r="O62" s="62">
        <v>3590264</v>
      </c>
      <c r="P62" s="62">
        <v>198875</v>
      </c>
      <c r="Q62" s="62">
        <v>96190</v>
      </c>
      <c r="R62" s="62">
        <v>0</v>
      </c>
      <c r="S62" s="62">
        <v>0</v>
      </c>
      <c r="T62" s="62">
        <v>-145244</v>
      </c>
      <c r="U62" s="62">
        <v>-183623</v>
      </c>
      <c r="V62" s="62">
        <v>0</v>
      </c>
      <c r="W62" s="62"/>
      <c r="X62" s="62">
        <v>-14381</v>
      </c>
      <c r="Y62" s="62">
        <v>0</v>
      </c>
      <c r="Z62" s="62">
        <v>130863</v>
      </c>
      <c r="AA62" s="62">
        <v>0</v>
      </c>
      <c r="AB62" s="62">
        <v>0</v>
      </c>
      <c r="AC62" s="62">
        <v>-14381</v>
      </c>
      <c r="AD62" s="62">
        <v>-14381</v>
      </c>
      <c r="AE62" s="62">
        <v>-14381</v>
      </c>
      <c r="AF62" s="62">
        <v>-14381</v>
      </c>
      <c r="AG62" s="62">
        <v>-14381</v>
      </c>
      <c r="AH62" s="62">
        <v>-58958</v>
      </c>
      <c r="AI62" s="63">
        <v>10.1</v>
      </c>
      <c r="AL62" s="64"/>
    </row>
    <row r="63" spans="2:38">
      <c r="B63" s="61" t="s">
        <v>302</v>
      </c>
      <c r="C63" s="62">
        <v>17</v>
      </c>
      <c r="D63" s="62">
        <v>0</v>
      </c>
      <c r="E63" s="62">
        <v>428</v>
      </c>
      <c r="F63" s="61">
        <v>456</v>
      </c>
      <c r="G63" s="62">
        <v>4104871</v>
      </c>
      <c r="H63" s="62">
        <v>4093870</v>
      </c>
      <c r="I63" s="62">
        <v>353916</v>
      </c>
      <c r="J63" s="62">
        <v>192874</v>
      </c>
      <c r="K63" s="62">
        <v>-173212</v>
      </c>
      <c r="L63" s="62">
        <v>4404371</v>
      </c>
      <c r="M63" s="62">
        <v>3818338</v>
      </c>
      <c r="N63" s="62">
        <v>3628664</v>
      </c>
      <c r="O63" s="62">
        <v>4672252</v>
      </c>
      <c r="P63" s="62">
        <v>246796</v>
      </c>
      <c r="Q63" s="62">
        <v>124270</v>
      </c>
      <c r="R63" s="62">
        <v>0</v>
      </c>
      <c r="S63" s="62">
        <v>0</v>
      </c>
      <c r="T63" s="62">
        <v>-190362</v>
      </c>
      <c r="U63" s="62">
        <v>-169703</v>
      </c>
      <c r="V63" s="62">
        <v>0</v>
      </c>
      <c r="W63" s="62"/>
      <c r="X63" s="62">
        <v>-17150</v>
      </c>
      <c r="Y63" s="62">
        <v>0</v>
      </c>
      <c r="Z63" s="62">
        <v>173212</v>
      </c>
      <c r="AA63" s="62">
        <v>0</v>
      </c>
      <c r="AB63" s="62">
        <v>0</v>
      </c>
      <c r="AC63" s="62">
        <v>-17150</v>
      </c>
      <c r="AD63" s="62">
        <v>-17150</v>
      </c>
      <c r="AE63" s="62">
        <v>-17150</v>
      </c>
      <c r="AF63" s="62">
        <v>-17150</v>
      </c>
      <c r="AG63" s="62">
        <v>-17150</v>
      </c>
      <c r="AH63" s="62">
        <v>-87462</v>
      </c>
      <c r="AI63" s="63">
        <v>11.1</v>
      </c>
      <c r="AL63" s="64"/>
    </row>
    <row r="64" spans="2:38">
      <c r="B64" s="61" t="s">
        <v>303</v>
      </c>
      <c r="C64" s="62">
        <v>27</v>
      </c>
      <c r="D64" s="62">
        <v>0</v>
      </c>
      <c r="E64" s="62">
        <v>304</v>
      </c>
      <c r="F64" s="61">
        <v>315</v>
      </c>
      <c r="G64" s="62">
        <v>3546936</v>
      </c>
      <c r="H64" s="62">
        <v>3684099</v>
      </c>
      <c r="I64" s="62">
        <v>271325</v>
      </c>
      <c r="J64" s="62">
        <v>285232</v>
      </c>
      <c r="K64" s="62">
        <v>-136731</v>
      </c>
      <c r="L64" s="62">
        <v>3785368</v>
      </c>
      <c r="M64" s="62">
        <v>3320456</v>
      </c>
      <c r="N64" s="62">
        <v>3187903</v>
      </c>
      <c r="O64" s="62">
        <v>3972066</v>
      </c>
      <c r="P64" s="62">
        <v>177720</v>
      </c>
      <c r="Q64" s="62">
        <v>108797</v>
      </c>
      <c r="R64" s="62">
        <v>0</v>
      </c>
      <c r="S64" s="62">
        <v>0</v>
      </c>
      <c r="T64" s="62">
        <v>-151923</v>
      </c>
      <c r="U64" s="62">
        <v>-271757</v>
      </c>
      <c r="V64" s="62">
        <v>0</v>
      </c>
      <c r="W64" s="62"/>
      <c r="X64" s="62">
        <v>-15192</v>
      </c>
      <c r="Y64" s="62">
        <v>0</v>
      </c>
      <c r="Z64" s="62">
        <v>136731</v>
      </c>
      <c r="AA64" s="62">
        <v>0</v>
      </c>
      <c r="AB64" s="62">
        <v>0</v>
      </c>
      <c r="AC64" s="62">
        <v>-15192</v>
      </c>
      <c r="AD64" s="62">
        <v>-15192</v>
      </c>
      <c r="AE64" s="62">
        <v>-15192</v>
      </c>
      <c r="AF64" s="62">
        <v>-15192</v>
      </c>
      <c r="AG64" s="62">
        <v>-15192</v>
      </c>
      <c r="AH64" s="62">
        <v>-60771</v>
      </c>
      <c r="AI64" s="63">
        <v>10</v>
      </c>
      <c r="AL64" s="64"/>
    </row>
    <row r="65" spans="2:38">
      <c r="B65" s="61" t="s">
        <v>304</v>
      </c>
      <c r="C65" s="62">
        <v>15</v>
      </c>
      <c r="D65" s="62">
        <v>0</v>
      </c>
      <c r="E65" s="62">
        <v>390</v>
      </c>
      <c r="F65" s="61">
        <v>415</v>
      </c>
      <c r="G65" s="62">
        <v>5022911</v>
      </c>
      <c r="H65" s="62">
        <v>4892342</v>
      </c>
      <c r="I65" s="62">
        <v>509888</v>
      </c>
      <c r="J65" s="62">
        <v>173362</v>
      </c>
      <c r="K65" s="62">
        <v>-237471</v>
      </c>
      <c r="L65" s="62">
        <v>5435547</v>
      </c>
      <c r="M65" s="62">
        <v>4631891</v>
      </c>
      <c r="N65" s="62">
        <v>4363585</v>
      </c>
      <c r="O65" s="62">
        <v>5818941</v>
      </c>
      <c r="P65" s="62">
        <v>382666</v>
      </c>
      <c r="Q65" s="62">
        <v>151959</v>
      </c>
      <c r="R65" s="62">
        <v>0</v>
      </c>
      <c r="S65" s="62">
        <v>0</v>
      </c>
      <c r="T65" s="62">
        <v>-262208</v>
      </c>
      <c r="U65" s="62">
        <v>-141848</v>
      </c>
      <c r="V65" s="62">
        <v>0</v>
      </c>
      <c r="W65" s="62"/>
      <c r="X65" s="62">
        <v>-24737</v>
      </c>
      <c r="Y65" s="62">
        <v>0</v>
      </c>
      <c r="Z65" s="62">
        <v>237471</v>
      </c>
      <c r="AA65" s="62">
        <v>0</v>
      </c>
      <c r="AB65" s="62">
        <v>0</v>
      </c>
      <c r="AC65" s="62">
        <v>-24737</v>
      </c>
      <c r="AD65" s="62">
        <v>-24737</v>
      </c>
      <c r="AE65" s="62">
        <v>-24737</v>
      </c>
      <c r="AF65" s="62">
        <v>-24737</v>
      </c>
      <c r="AG65" s="62">
        <v>-24737</v>
      </c>
      <c r="AH65" s="62">
        <v>-113786</v>
      </c>
      <c r="AI65" s="63">
        <v>10.6</v>
      </c>
      <c r="AL65" s="64"/>
    </row>
    <row r="66" spans="2:38">
      <c r="B66" s="61" t="s">
        <v>305</v>
      </c>
      <c r="C66" s="62">
        <v>0</v>
      </c>
      <c r="D66" s="62">
        <v>0</v>
      </c>
      <c r="E66" s="62">
        <v>0</v>
      </c>
      <c r="F66" s="61">
        <v>0</v>
      </c>
      <c r="G66" s="62">
        <v>0</v>
      </c>
      <c r="H66" s="62">
        <v>0</v>
      </c>
      <c r="I66" s="62">
        <v>0</v>
      </c>
      <c r="J66" s="62">
        <v>0</v>
      </c>
      <c r="K66" s="62">
        <v>0</v>
      </c>
      <c r="L66" s="62">
        <v>0</v>
      </c>
      <c r="M66" s="62">
        <v>0</v>
      </c>
      <c r="N66" s="62">
        <v>0</v>
      </c>
      <c r="O66" s="62">
        <v>0</v>
      </c>
      <c r="P66" s="62">
        <v>0</v>
      </c>
      <c r="Q66" s="62">
        <v>0</v>
      </c>
      <c r="R66" s="62">
        <v>0</v>
      </c>
      <c r="S66" s="62">
        <v>0</v>
      </c>
      <c r="T66" s="62">
        <v>0</v>
      </c>
      <c r="U66" s="62">
        <v>0</v>
      </c>
      <c r="V66" s="62">
        <v>0</v>
      </c>
      <c r="W66" s="62"/>
      <c r="X66" s="62">
        <v>0</v>
      </c>
      <c r="Y66" s="62">
        <v>0</v>
      </c>
      <c r="Z66" s="62">
        <v>0</v>
      </c>
      <c r="AA66" s="62">
        <v>0</v>
      </c>
      <c r="AB66" s="62">
        <v>0</v>
      </c>
      <c r="AC66" s="62">
        <v>0</v>
      </c>
      <c r="AD66" s="62">
        <v>0</v>
      </c>
      <c r="AE66" s="62">
        <v>0</v>
      </c>
      <c r="AF66" s="62">
        <v>0</v>
      </c>
      <c r="AG66" s="62">
        <v>0</v>
      </c>
      <c r="AH66" s="62">
        <v>0</v>
      </c>
      <c r="AI66" s="63">
        <v>1</v>
      </c>
      <c r="AL66" s="64"/>
    </row>
    <row r="67" spans="2:38">
      <c r="B67" s="61" t="s">
        <v>306</v>
      </c>
      <c r="C67" s="62">
        <v>9</v>
      </c>
      <c r="D67" s="62">
        <v>0</v>
      </c>
      <c r="E67" s="62">
        <v>166</v>
      </c>
      <c r="F67" s="61">
        <v>186</v>
      </c>
      <c r="G67" s="62">
        <v>1094760</v>
      </c>
      <c r="H67" s="62">
        <v>1128532</v>
      </c>
      <c r="I67" s="62">
        <v>94468</v>
      </c>
      <c r="J67" s="62">
        <v>90290</v>
      </c>
      <c r="K67" s="62">
        <v>-43117</v>
      </c>
      <c r="L67" s="62">
        <v>1169633</v>
      </c>
      <c r="M67" s="62">
        <v>1022828</v>
      </c>
      <c r="N67" s="62">
        <v>977797</v>
      </c>
      <c r="O67" s="62">
        <v>1232892</v>
      </c>
      <c r="P67" s="62">
        <v>65209</v>
      </c>
      <c r="Q67" s="62">
        <v>33614</v>
      </c>
      <c r="R67" s="62">
        <v>0</v>
      </c>
      <c r="S67" s="62">
        <v>0</v>
      </c>
      <c r="T67" s="62">
        <v>-47472</v>
      </c>
      <c r="U67" s="62">
        <v>-85123</v>
      </c>
      <c r="V67" s="62">
        <v>0</v>
      </c>
      <c r="W67" s="62"/>
      <c r="X67" s="62">
        <v>-4355</v>
      </c>
      <c r="Y67" s="62">
        <v>0</v>
      </c>
      <c r="Z67" s="62">
        <v>43117</v>
      </c>
      <c r="AA67" s="62">
        <v>0</v>
      </c>
      <c r="AB67" s="62">
        <v>0</v>
      </c>
      <c r="AC67" s="62">
        <v>-4355</v>
      </c>
      <c r="AD67" s="62">
        <v>-4355</v>
      </c>
      <c r="AE67" s="62">
        <v>-4355</v>
      </c>
      <c r="AF67" s="62">
        <v>-4355</v>
      </c>
      <c r="AG67" s="62">
        <v>-4355</v>
      </c>
      <c r="AH67" s="62">
        <v>-21342</v>
      </c>
      <c r="AI67" s="63">
        <v>10.9</v>
      </c>
      <c r="AL67" s="64"/>
    </row>
    <row r="68" spans="2:38">
      <c r="B68" s="61" t="s">
        <v>307</v>
      </c>
      <c r="C68" s="62">
        <v>13</v>
      </c>
      <c r="D68" s="62">
        <v>0</v>
      </c>
      <c r="E68" s="62">
        <v>160</v>
      </c>
      <c r="F68" s="61">
        <v>173</v>
      </c>
      <c r="G68" s="62">
        <v>2124449</v>
      </c>
      <c r="H68" s="62">
        <v>2191072</v>
      </c>
      <c r="I68" s="62">
        <v>189731</v>
      </c>
      <c r="J68" s="62">
        <v>176777</v>
      </c>
      <c r="K68" s="62">
        <v>-88843</v>
      </c>
      <c r="L68" s="62">
        <v>2280304</v>
      </c>
      <c r="M68" s="62">
        <v>1978392</v>
      </c>
      <c r="N68" s="62">
        <v>1891515</v>
      </c>
      <c r="O68" s="62">
        <v>2407275</v>
      </c>
      <c r="P68" s="62">
        <v>134152</v>
      </c>
      <c r="Q68" s="62">
        <v>65451</v>
      </c>
      <c r="R68" s="62">
        <v>0</v>
      </c>
      <c r="S68" s="62">
        <v>0</v>
      </c>
      <c r="T68" s="62">
        <v>-98715</v>
      </c>
      <c r="U68" s="62">
        <v>-167511</v>
      </c>
      <c r="V68" s="62">
        <v>0</v>
      </c>
      <c r="W68" s="62"/>
      <c r="X68" s="62">
        <v>-9872</v>
      </c>
      <c r="Y68" s="62">
        <v>0</v>
      </c>
      <c r="Z68" s="62">
        <v>88843</v>
      </c>
      <c r="AA68" s="62">
        <v>0</v>
      </c>
      <c r="AB68" s="62">
        <v>0</v>
      </c>
      <c r="AC68" s="62">
        <v>-9872</v>
      </c>
      <c r="AD68" s="62">
        <v>-9872</v>
      </c>
      <c r="AE68" s="62">
        <v>-9872</v>
      </c>
      <c r="AF68" s="62">
        <v>-9872</v>
      </c>
      <c r="AG68" s="62">
        <v>-9872</v>
      </c>
      <c r="AH68" s="62">
        <v>-39483</v>
      </c>
      <c r="AI68" s="63">
        <v>10</v>
      </c>
      <c r="AL68" s="64"/>
    </row>
    <row r="69" spans="2:38">
      <c r="B69" s="61" t="s">
        <v>308</v>
      </c>
      <c r="C69" s="62">
        <v>19</v>
      </c>
      <c r="D69" s="62">
        <v>0</v>
      </c>
      <c r="E69" s="62">
        <v>342</v>
      </c>
      <c r="F69" s="61">
        <v>360</v>
      </c>
      <c r="G69" s="62">
        <v>6328405</v>
      </c>
      <c r="H69" s="62">
        <v>6359074</v>
      </c>
      <c r="I69" s="62">
        <v>503934</v>
      </c>
      <c r="J69" s="62">
        <v>281258</v>
      </c>
      <c r="K69" s="62">
        <v>-275746</v>
      </c>
      <c r="L69" s="62">
        <v>6808929</v>
      </c>
      <c r="M69" s="62">
        <v>5869845</v>
      </c>
      <c r="N69" s="62">
        <v>5586571</v>
      </c>
      <c r="O69" s="62">
        <v>7205428</v>
      </c>
      <c r="P69" s="62">
        <v>341701</v>
      </c>
      <c r="Q69" s="62">
        <v>191883</v>
      </c>
      <c r="R69" s="62">
        <v>0</v>
      </c>
      <c r="S69" s="62">
        <v>0</v>
      </c>
      <c r="T69" s="62">
        <v>-305396</v>
      </c>
      <c r="U69" s="62">
        <v>-258857</v>
      </c>
      <c r="V69" s="62">
        <v>0</v>
      </c>
      <c r="W69" s="62"/>
      <c r="X69" s="62">
        <v>-29650</v>
      </c>
      <c r="Y69" s="62">
        <v>0</v>
      </c>
      <c r="Z69" s="62">
        <v>275746</v>
      </c>
      <c r="AA69" s="62">
        <v>0</v>
      </c>
      <c r="AB69" s="62">
        <v>0</v>
      </c>
      <c r="AC69" s="62">
        <v>-29650</v>
      </c>
      <c r="AD69" s="62">
        <v>-29650</v>
      </c>
      <c r="AE69" s="62">
        <v>-29650</v>
      </c>
      <c r="AF69" s="62">
        <v>-29650</v>
      </c>
      <c r="AG69" s="62">
        <v>-29650</v>
      </c>
      <c r="AH69" s="62">
        <v>-127496</v>
      </c>
      <c r="AI69" s="63">
        <v>10.3</v>
      </c>
      <c r="AL69" s="64"/>
    </row>
    <row r="70" spans="2:38">
      <c r="B70" s="61" t="s">
        <v>309</v>
      </c>
      <c r="C70" s="62">
        <v>13</v>
      </c>
      <c r="D70" s="62">
        <v>0</v>
      </c>
      <c r="E70" s="62">
        <v>126</v>
      </c>
      <c r="F70" s="61">
        <v>130</v>
      </c>
      <c r="G70" s="62">
        <v>1461833</v>
      </c>
      <c r="H70" s="62">
        <v>1516369</v>
      </c>
      <c r="I70" s="62">
        <v>116043</v>
      </c>
      <c r="J70" s="62">
        <v>117129</v>
      </c>
      <c r="K70" s="62">
        <v>-59296</v>
      </c>
      <c r="L70" s="62">
        <v>1564240</v>
      </c>
      <c r="M70" s="62">
        <v>1364278</v>
      </c>
      <c r="N70" s="62">
        <v>1303319</v>
      </c>
      <c r="O70" s="62">
        <v>1651631</v>
      </c>
      <c r="P70" s="62">
        <v>77069</v>
      </c>
      <c r="Q70" s="62">
        <v>44904</v>
      </c>
      <c r="R70" s="62">
        <v>0</v>
      </c>
      <c r="S70" s="62">
        <v>0</v>
      </c>
      <c r="T70" s="62">
        <v>-65226</v>
      </c>
      <c r="U70" s="62">
        <v>-111283</v>
      </c>
      <c r="V70" s="62">
        <v>0</v>
      </c>
      <c r="W70" s="62"/>
      <c r="X70" s="62">
        <v>-5930</v>
      </c>
      <c r="Y70" s="62">
        <v>0</v>
      </c>
      <c r="Z70" s="62">
        <v>59296</v>
      </c>
      <c r="AA70" s="62">
        <v>0</v>
      </c>
      <c r="AB70" s="62">
        <v>0</v>
      </c>
      <c r="AC70" s="62">
        <v>-5930</v>
      </c>
      <c r="AD70" s="62">
        <v>-5930</v>
      </c>
      <c r="AE70" s="62">
        <v>-5930</v>
      </c>
      <c r="AF70" s="62">
        <v>-5930</v>
      </c>
      <c r="AG70" s="62">
        <v>-5930</v>
      </c>
      <c r="AH70" s="62">
        <v>-29646</v>
      </c>
      <c r="AI70" s="63">
        <v>11</v>
      </c>
      <c r="AL70" s="64"/>
    </row>
    <row r="71" spans="2:38">
      <c r="B71" s="61" t="s">
        <v>310</v>
      </c>
      <c r="C71" s="62">
        <v>12</v>
      </c>
      <c r="D71" s="62">
        <v>0</v>
      </c>
      <c r="E71" s="62">
        <v>202</v>
      </c>
      <c r="F71" s="61">
        <v>219</v>
      </c>
      <c r="G71" s="62">
        <v>1786173</v>
      </c>
      <c r="H71" s="62">
        <v>1817182</v>
      </c>
      <c r="I71" s="62">
        <v>145695</v>
      </c>
      <c r="J71" s="62">
        <v>118738</v>
      </c>
      <c r="K71" s="62">
        <v>-67427</v>
      </c>
      <c r="L71" s="62">
        <v>1903671</v>
      </c>
      <c r="M71" s="62">
        <v>1673443</v>
      </c>
      <c r="N71" s="62">
        <v>1601299</v>
      </c>
      <c r="O71" s="62">
        <v>2005339</v>
      </c>
      <c r="P71" s="62">
        <v>98676</v>
      </c>
      <c r="Q71" s="62">
        <v>54348</v>
      </c>
      <c r="R71" s="62">
        <v>0</v>
      </c>
      <c r="S71" s="62">
        <v>0</v>
      </c>
      <c r="T71" s="62">
        <v>-74756</v>
      </c>
      <c r="U71" s="62">
        <v>-109277</v>
      </c>
      <c r="V71" s="62">
        <v>0</v>
      </c>
      <c r="W71" s="62"/>
      <c r="X71" s="62">
        <v>-7329</v>
      </c>
      <c r="Y71" s="62">
        <v>0</v>
      </c>
      <c r="Z71" s="62">
        <v>67427</v>
      </c>
      <c r="AA71" s="62">
        <v>0</v>
      </c>
      <c r="AB71" s="62">
        <v>0</v>
      </c>
      <c r="AC71" s="62">
        <v>-7329</v>
      </c>
      <c r="AD71" s="62">
        <v>-7329</v>
      </c>
      <c r="AE71" s="62">
        <v>-7329</v>
      </c>
      <c r="AF71" s="62">
        <v>-7329</v>
      </c>
      <c r="AG71" s="62">
        <v>-7329</v>
      </c>
      <c r="AH71" s="62">
        <v>-30782</v>
      </c>
      <c r="AI71" s="63">
        <v>10.199999999999999</v>
      </c>
      <c r="AL71" s="64"/>
    </row>
    <row r="72" spans="2:38">
      <c r="B72" s="61" t="s">
        <v>311</v>
      </c>
      <c r="C72" s="62">
        <v>165</v>
      </c>
      <c r="D72" s="62">
        <v>0</v>
      </c>
      <c r="E72" s="62">
        <v>1533</v>
      </c>
      <c r="F72" s="61">
        <v>1652</v>
      </c>
      <c r="G72" s="62">
        <v>21274540</v>
      </c>
      <c r="H72" s="62">
        <v>22052110</v>
      </c>
      <c r="I72" s="62">
        <v>1615348</v>
      </c>
      <c r="J72" s="62">
        <v>1762038</v>
      </c>
      <c r="K72" s="62">
        <v>-752986</v>
      </c>
      <c r="L72" s="62">
        <v>22603489</v>
      </c>
      <c r="M72" s="62">
        <v>20018059</v>
      </c>
      <c r="N72" s="62">
        <v>19329829</v>
      </c>
      <c r="O72" s="62">
        <v>23551499</v>
      </c>
      <c r="P72" s="62">
        <v>1054227</v>
      </c>
      <c r="Q72" s="62">
        <v>650762</v>
      </c>
      <c r="R72" s="62">
        <v>0</v>
      </c>
      <c r="S72" s="62">
        <v>0</v>
      </c>
      <c r="T72" s="62">
        <v>-842627</v>
      </c>
      <c r="U72" s="62">
        <v>-1639932</v>
      </c>
      <c r="V72" s="62">
        <v>0</v>
      </c>
      <c r="W72" s="62"/>
      <c r="X72" s="62">
        <v>-89641</v>
      </c>
      <c r="Y72" s="62">
        <v>0</v>
      </c>
      <c r="Z72" s="62">
        <v>752986</v>
      </c>
      <c r="AA72" s="62">
        <v>0</v>
      </c>
      <c r="AB72" s="62">
        <v>0</v>
      </c>
      <c r="AC72" s="62">
        <v>-89641</v>
      </c>
      <c r="AD72" s="62">
        <v>-89641</v>
      </c>
      <c r="AE72" s="62">
        <v>-89641</v>
      </c>
      <c r="AF72" s="62">
        <v>-89641</v>
      </c>
      <c r="AG72" s="62">
        <v>-89641</v>
      </c>
      <c r="AH72" s="62">
        <v>-304781</v>
      </c>
      <c r="AI72" s="63">
        <v>9.4</v>
      </c>
      <c r="AL72" s="64"/>
    </row>
    <row r="73" spans="2:38">
      <c r="B73" s="61" t="s">
        <v>312</v>
      </c>
      <c r="C73" s="62">
        <v>75</v>
      </c>
      <c r="D73" s="62">
        <v>0</v>
      </c>
      <c r="E73" s="62">
        <v>749</v>
      </c>
      <c r="F73" s="61">
        <v>782</v>
      </c>
      <c r="G73" s="62">
        <v>20666956</v>
      </c>
      <c r="H73" s="62">
        <v>20622056</v>
      </c>
      <c r="I73" s="62">
        <v>1754263</v>
      </c>
      <c r="J73" s="62">
        <v>986443</v>
      </c>
      <c r="K73" s="62">
        <v>-845912</v>
      </c>
      <c r="L73" s="62">
        <v>22149259</v>
      </c>
      <c r="M73" s="62">
        <v>19255999</v>
      </c>
      <c r="N73" s="62">
        <v>18399130</v>
      </c>
      <c r="O73" s="62">
        <v>23344577</v>
      </c>
      <c r="P73" s="62">
        <v>1224010</v>
      </c>
      <c r="Q73" s="62">
        <v>625299</v>
      </c>
      <c r="R73" s="62">
        <v>0</v>
      </c>
      <c r="S73" s="62">
        <v>0</v>
      </c>
      <c r="T73" s="62">
        <v>-940958</v>
      </c>
      <c r="U73" s="62">
        <v>-863451</v>
      </c>
      <c r="V73" s="62">
        <v>0</v>
      </c>
      <c r="W73" s="62"/>
      <c r="X73" s="62">
        <v>-95046</v>
      </c>
      <c r="Y73" s="62">
        <v>0</v>
      </c>
      <c r="Z73" s="62">
        <v>845912</v>
      </c>
      <c r="AA73" s="62">
        <v>0</v>
      </c>
      <c r="AB73" s="62">
        <v>0</v>
      </c>
      <c r="AC73" s="62">
        <v>-95046</v>
      </c>
      <c r="AD73" s="62">
        <v>-95046</v>
      </c>
      <c r="AE73" s="62">
        <v>-95046</v>
      </c>
      <c r="AF73" s="62">
        <v>-95046</v>
      </c>
      <c r="AG73" s="62">
        <v>-95046</v>
      </c>
      <c r="AH73" s="62">
        <v>-370682</v>
      </c>
      <c r="AI73" s="63">
        <v>9.9</v>
      </c>
      <c r="AL73" s="64"/>
    </row>
    <row r="74" spans="2:38">
      <c r="B74" s="61" t="s">
        <v>313</v>
      </c>
      <c r="C74" s="62">
        <v>31</v>
      </c>
      <c r="D74" s="62">
        <v>0</v>
      </c>
      <c r="E74" s="62">
        <v>314</v>
      </c>
      <c r="F74" s="61">
        <v>335</v>
      </c>
      <c r="G74" s="62">
        <v>8966804</v>
      </c>
      <c r="H74" s="62">
        <v>9029160</v>
      </c>
      <c r="I74" s="62">
        <v>715391</v>
      </c>
      <c r="J74" s="62">
        <v>404142</v>
      </c>
      <c r="K74" s="62">
        <v>-390075</v>
      </c>
      <c r="L74" s="62">
        <v>9657347</v>
      </c>
      <c r="M74" s="62">
        <v>8313263</v>
      </c>
      <c r="N74" s="62">
        <v>7924880</v>
      </c>
      <c r="O74" s="62">
        <v>10194719</v>
      </c>
      <c r="P74" s="62">
        <v>490643</v>
      </c>
      <c r="Q74" s="62">
        <v>272318</v>
      </c>
      <c r="R74" s="62">
        <v>0</v>
      </c>
      <c r="S74" s="62">
        <v>0</v>
      </c>
      <c r="T74" s="62">
        <v>-437645</v>
      </c>
      <c r="U74" s="62">
        <v>-387672</v>
      </c>
      <c r="V74" s="62">
        <v>0</v>
      </c>
      <c r="W74" s="62"/>
      <c r="X74" s="62">
        <v>-47570</v>
      </c>
      <c r="Y74" s="62">
        <v>0</v>
      </c>
      <c r="Z74" s="62">
        <v>390075</v>
      </c>
      <c r="AA74" s="62">
        <v>0</v>
      </c>
      <c r="AB74" s="62">
        <v>0</v>
      </c>
      <c r="AC74" s="62">
        <v>-47570</v>
      </c>
      <c r="AD74" s="62">
        <v>-47570</v>
      </c>
      <c r="AE74" s="62">
        <v>-47570</v>
      </c>
      <c r="AF74" s="62">
        <v>-47570</v>
      </c>
      <c r="AG74" s="62">
        <v>-47570</v>
      </c>
      <c r="AH74" s="62">
        <v>-152225</v>
      </c>
      <c r="AI74" s="63">
        <v>9.1999999999999993</v>
      </c>
      <c r="AL74" s="64"/>
    </row>
    <row r="75" spans="2:38">
      <c r="B75" s="61" t="s">
        <v>314</v>
      </c>
      <c r="C75" s="62">
        <v>0</v>
      </c>
      <c r="D75" s="62">
        <v>0</v>
      </c>
      <c r="E75" s="62">
        <v>0</v>
      </c>
      <c r="F75" s="61">
        <v>0</v>
      </c>
      <c r="G75" s="62">
        <v>0</v>
      </c>
      <c r="H75" s="62">
        <v>0</v>
      </c>
      <c r="I75" s="62">
        <v>0</v>
      </c>
      <c r="J75" s="62">
        <v>0</v>
      </c>
      <c r="K75" s="62">
        <v>0</v>
      </c>
      <c r="L75" s="62">
        <v>0</v>
      </c>
      <c r="M75" s="62">
        <v>0</v>
      </c>
      <c r="N75" s="62">
        <v>0</v>
      </c>
      <c r="O75" s="62">
        <v>0</v>
      </c>
      <c r="P75" s="62">
        <v>0</v>
      </c>
      <c r="Q75" s="62">
        <v>0</v>
      </c>
      <c r="R75" s="62">
        <v>0</v>
      </c>
      <c r="S75" s="62">
        <v>0</v>
      </c>
      <c r="T75" s="62">
        <v>0</v>
      </c>
      <c r="U75" s="62">
        <v>0</v>
      </c>
      <c r="V75" s="62">
        <v>0</v>
      </c>
      <c r="W75" s="62"/>
      <c r="X75" s="62">
        <v>0</v>
      </c>
      <c r="Y75" s="62">
        <v>0</v>
      </c>
      <c r="Z75" s="62">
        <v>0</v>
      </c>
      <c r="AA75" s="62">
        <v>0</v>
      </c>
      <c r="AB75" s="62">
        <v>0</v>
      </c>
      <c r="AC75" s="62">
        <v>0</v>
      </c>
      <c r="AD75" s="62">
        <v>0</v>
      </c>
      <c r="AE75" s="62">
        <v>0</v>
      </c>
      <c r="AF75" s="62">
        <v>0</v>
      </c>
      <c r="AG75" s="62">
        <v>0</v>
      </c>
      <c r="AH75" s="62">
        <v>0</v>
      </c>
      <c r="AI75" s="63">
        <v>1</v>
      </c>
      <c r="AL75" s="64"/>
    </row>
    <row r="76" spans="2:38">
      <c r="B76" s="61" t="s">
        <v>315</v>
      </c>
      <c r="C76" s="62">
        <v>87</v>
      </c>
      <c r="D76" s="62">
        <v>0</v>
      </c>
      <c r="E76" s="62">
        <v>844</v>
      </c>
      <c r="F76" s="61">
        <v>880</v>
      </c>
      <c r="G76" s="62">
        <v>19866282</v>
      </c>
      <c r="H76" s="62">
        <v>19874708</v>
      </c>
      <c r="I76" s="62">
        <v>1757282</v>
      </c>
      <c r="J76" s="62">
        <v>1102686</v>
      </c>
      <c r="K76" s="62">
        <v>-770765</v>
      </c>
      <c r="L76" s="62">
        <v>21217520</v>
      </c>
      <c r="M76" s="62">
        <v>18576718</v>
      </c>
      <c r="N76" s="62">
        <v>17765276</v>
      </c>
      <c r="O76" s="62">
        <v>22345217</v>
      </c>
      <c r="P76" s="62">
        <v>1242765</v>
      </c>
      <c r="Q76" s="62">
        <v>602104</v>
      </c>
      <c r="R76" s="62">
        <v>0</v>
      </c>
      <c r="S76" s="62">
        <v>0</v>
      </c>
      <c r="T76" s="62">
        <v>-858352</v>
      </c>
      <c r="U76" s="62">
        <v>-994943</v>
      </c>
      <c r="V76" s="62">
        <v>0</v>
      </c>
      <c r="W76" s="62"/>
      <c r="X76" s="62">
        <v>-87587</v>
      </c>
      <c r="Y76" s="62">
        <v>0</v>
      </c>
      <c r="Z76" s="62">
        <v>770765</v>
      </c>
      <c r="AA76" s="62">
        <v>0</v>
      </c>
      <c r="AB76" s="62">
        <v>0</v>
      </c>
      <c r="AC76" s="62">
        <v>-87587</v>
      </c>
      <c r="AD76" s="62">
        <v>-87587</v>
      </c>
      <c r="AE76" s="62">
        <v>-87587</v>
      </c>
      <c r="AF76" s="62">
        <v>-87587</v>
      </c>
      <c r="AG76" s="62">
        <v>-87587</v>
      </c>
      <c r="AH76" s="62">
        <v>-332830</v>
      </c>
      <c r="AI76" s="63">
        <v>9.8000000000000007</v>
      </c>
      <c r="AL76" s="64"/>
    </row>
    <row r="77" spans="2:38">
      <c r="B77" s="61" t="s">
        <v>316</v>
      </c>
      <c r="C77" s="62">
        <v>0</v>
      </c>
      <c r="D77" s="62">
        <v>0</v>
      </c>
      <c r="E77" s="62">
        <v>0</v>
      </c>
      <c r="F77" s="61">
        <v>0</v>
      </c>
      <c r="G77" s="62">
        <v>0</v>
      </c>
      <c r="H77" s="62">
        <v>0</v>
      </c>
      <c r="I77" s="62">
        <v>0</v>
      </c>
      <c r="J77" s="62">
        <v>0</v>
      </c>
      <c r="K77" s="62">
        <v>0</v>
      </c>
      <c r="L77" s="62">
        <v>0</v>
      </c>
      <c r="M77" s="62">
        <v>0</v>
      </c>
      <c r="N77" s="62">
        <v>0</v>
      </c>
      <c r="O77" s="62">
        <v>0</v>
      </c>
      <c r="P77" s="62">
        <v>0</v>
      </c>
      <c r="Q77" s="62">
        <v>0</v>
      </c>
      <c r="R77" s="62">
        <v>0</v>
      </c>
      <c r="S77" s="62">
        <v>0</v>
      </c>
      <c r="T77" s="62">
        <v>0</v>
      </c>
      <c r="U77" s="62">
        <v>0</v>
      </c>
      <c r="V77" s="62">
        <v>0</v>
      </c>
      <c r="W77" s="62"/>
      <c r="X77" s="62">
        <v>0</v>
      </c>
      <c r="Y77" s="62">
        <v>0</v>
      </c>
      <c r="Z77" s="62">
        <v>0</v>
      </c>
      <c r="AA77" s="62">
        <v>0</v>
      </c>
      <c r="AB77" s="62">
        <v>0</v>
      </c>
      <c r="AC77" s="62">
        <v>0</v>
      </c>
      <c r="AD77" s="62">
        <v>0</v>
      </c>
      <c r="AE77" s="62">
        <v>0</v>
      </c>
      <c r="AF77" s="62">
        <v>0</v>
      </c>
      <c r="AG77" s="62">
        <v>0</v>
      </c>
      <c r="AH77" s="62">
        <v>0</v>
      </c>
      <c r="AI77" s="63">
        <v>1</v>
      </c>
      <c r="AL77" s="67"/>
    </row>
    <row r="78" spans="2:38">
      <c r="B78" s="61" t="s">
        <v>317</v>
      </c>
      <c r="C78" s="62">
        <v>369</v>
      </c>
      <c r="D78" s="62">
        <v>0</v>
      </c>
      <c r="E78" s="62">
        <v>6545</v>
      </c>
      <c r="F78" s="61">
        <v>6863</v>
      </c>
      <c r="G78" s="62">
        <v>50307674</v>
      </c>
      <c r="H78" s="62">
        <v>51052124</v>
      </c>
      <c r="I78" s="62">
        <v>4492716</v>
      </c>
      <c r="J78" s="62">
        <v>3276865</v>
      </c>
      <c r="K78" s="62">
        <v>-2158276</v>
      </c>
      <c r="L78" s="62">
        <v>54054693</v>
      </c>
      <c r="M78" s="62">
        <v>46776909</v>
      </c>
      <c r="N78" s="62">
        <v>44653241</v>
      </c>
      <c r="O78" s="62">
        <v>57075753</v>
      </c>
      <c r="P78" s="62">
        <v>3172322</v>
      </c>
      <c r="Q78" s="62">
        <v>1538402</v>
      </c>
      <c r="R78" s="62">
        <v>0</v>
      </c>
      <c r="S78" s="62">
        <v>0</v>
      </c>
      <c r="T78" s="62">
        <v>-2376284</v>
      </c>
      <c r="U78" s="62">
        <v>-3078890</v>
      </c>
      <c r="V78" s="62">
        <v>0</v>
      </c>
      <c r="W78" s="62"/>
      <c r="X78" s="62">
        <v>-218008</v>
      </c>
      <c r="Y78" s="62">
        <v>0</v>
      </c>
      <c r="Z78" s="62">
        <v>2158276</v>
      </c>
      <c r="AA78" s="62">
        <v>0</v>
      </c>
      <c r="AB78" s="62">
        <v>0</v>
      </c>
      <c r="AC78" s="62">
        <v>-218008</v>
      </c>
      <c r="AD78" s="62">
        <v>-218008</v>
      </c>
      <c r="AE78" s="62">
        <v>-218008</v>
      </c>
      <c r="AF78" s="62">
        <v>-218008</v>
      </c>
      <c r="AG78" s="62">
        <v>-218008</v>
      </c>
      <c r="AH78" s="62">
        <v>-1068236</v>
      </c>
      <c r="AI78" s="63">
        <v>10.9</v>
      </c>
    </row>
    <row r="79" spans="2:38">
      <c r="B79" s="61" t="s">
        <v>318</v>
      </c>
      <c r="C79" s="62">
        <v>5</v>
      </c>
      <c r="D79" s="62">
        <v>0</v>
      </c>
      <c r="E79" s="62">
        <v>101</v>
      </c>
      <c r="F79" s="61">
        <v>105</v>
      </c>
      <c r="G79" s="62">
        <v>1852509</v>
      </c>
      <c r="H79" s="62">
        <v>1815326</v>
      </c>
      <c r="I79" s="62">
        <v>176667</v>
      </c>
      <c r="J79" s="62">
        <v>75902</v>
      </c>
      <c r="K79" s="62">
        <v>-79258</v>
      </c>
      <c r="L79" s="62">
        <v>1990114</v>
      </c>
      <c r="M79" s="62">
        <v>1722291</v>
      </c>
      <c r="N79" s="62">
        <v>1637332</v>
      </c>
      <c r="O79" s="62">
        <v>2110594</v>
      </c>
      <c r="P79" s="62">
        <v>128864</v>
      </c>
      <c r="Q79" s="62">
        <v>55891</v>
      </c>
      <c r="R79" s="62">
        <v>0</v>
      </c>
      <c r="S79" s="62">
        <v>0</v>
      </c>
      <c r="T79" s="62">
        <v>-87346</v>
      </c>
      <c r="U79" s="62">
        <v>-60226</v>
      </c>
      <c r="V79" s="62">
        <v>0</v>
      </c>
      <c r="W79" s="62"/>
      <c r="X79" s="62">
        <v>-8088</v>
      </c>
      <c r="Y79" s="62">
        <v>0</v>
      </c>
      <c r="Z79" s="62">
        <v>79258</v>
      </c>
      <c r="AA79" s="62">
        <v>0</v>
      </c>
      <c r="AB79" s="62">
        <v>0</v>
      </c>
      <c r="AC79" s="62">
        <v>-8088</v>
      </c>
      <c r="AD79" s="62">
        <v>-8088</v>
      </c>
      <c r="AE79" s="62">
        <v>-8088</v>
      </c>
      <c r="AF79" s="62">
        <v>-8088</v>
      </c>
      <c r="AG79" s="62">
        <v>-8088</v>
      </c>
      <c r="AH79" s="62">
        <v>-38818</v>
      </c>
      <c r="AI79" s="63">
        <v>10.8</v>
      </c>
    </row>
    <row r="80" spans="2:38">
      <c r="B80" s="61" t="s">
        <v>319</v>
      </c>
      <c r="C80" s="62">
        <v>21</v>
      </c>
      <c r="D80" s="62">
        <v>0</v>
      </c>
      <c r="E80" s="62">
        <v>430</v>
      </c>
      <c r="F80" s="61">
        <v>450</v>
      </c>
      <c r="G80" s="62">
        <v>6437670</v>
      </c>
      <c r="H80" s="62">
        <v>6320328</v>
      </c>
      <c r="I80" s="62">
        <v>594341</v>
      </c>
      <c r="J80" s="62">
        <v>250661</v>
      </c>
      <c r="K80" s="62">
        <v>-270072</v>
      </c>
      <c r="L80" s="62">
        <v>6909718</v>
      </c>
      <c r="M80" s="62">
        <v>5984516</v>
      </c>
      <c r="N80" s="62">
        <v>5678769</v>
      </c>
      <c r="O80" s="62">
        <v>7338954</v>
      </c>
      <c r="P80" s="62">
        <v>430253</v>
      </c>
      <c r="Q80" s="62">
        <v>194096</v>
      </c>
      <c r="R80" s="62">
        <v>0</v>
      </c>
      <c r="S80" s="62">
        <v>0</v>
      </c>
      <c r="T80" s="62">
        <v>-300080</v>
      </c>
      <c r="U80" s="62">
        <v>-206927</v>
      </c>
      <c r="V80" s="62">
        <v>0</v>
      </c>
      <c r="W80" s="62"/>
      <c r="X80" s="62">
        <v>-30008</v>
      </c>
      <c r="Y80" s="62">
        <v>0</v>
      </c>
      <c r="Z80" s="62">
        <v>270072</v>
      </c>
      <c r="AA80" s="62">
        <v>0</v>
      </c>
      <c r="AB80" s="62">
        <v>0</v>
      </c>
      <c r="AC80" s="62">
        <v>-30008</v>
      </c>
      <c r="AD80" s="62">
        <v>-30008</v>
      </c>
      <c r="AE80" s="62">
        <v>-30008</v>
      </c>
      <c r="AF80" s="62">
        <v>-30008</v>
      </c>
      <c r="AG80" s="62">
        <v>-30008</v>
      </c>
      <c r="AH80" s="62">
        <v>-120032</v>
      </c>
      <c r="AI80" s="63">
        <v>10</v>
      </c>
    </row>
    <row r="81" spans="2:35">
      <c r="B81" s="61" t="s">
        <v>320</v>
      </c>
      <c r="C81" s="62">
        <v>74</v>
      </c>
      <c r="D81" s="62">
        <v>0</v>
      </c>
      <c r="E81" s="62">
        <v>782</v>
      </c>
      <c r="F81" s="61">
        <v>834</v>
      </c>
      <c r="G81" s="62">
        <v>23687720</v>
      </c>
      <c r="H81" s="62">
        <v>23212341</v>
      </c>
      <c r="I81" s="62">
        <v>2212274</v>
      </c>
      <c r="J81" s="62">
        <v>926251</v>
      </c>
      <c r="K81" s="62">
        <v>-947556</v>
      </c>
      <c r="L81" s="62">
        <v>25351496</v>
      </c>
      <c r="M81" s="62">
        <v>22082310</v>
      </c>
      <c r="N81" s="62">
        <v>20926219</v>
      </c>
      <c r="O81" s="62">
        <v>26947211</v>
      </c>
      <c r="P81" s="62">
        <v>1610450</v>
      </c>
      <c r="Q81" s="62">
        <v>713301</v>
      </c>
      <c r="R81" s="62">
        <v>0</v>
      </c>
      <c r="S81" s="62">
        <v>0</v>
      </c>
      <c r="T81" s="62">
        <v>-1059033</v>
      </c>
      <c r="U81" s="62">
        <v>-789339</v>
      </c>
      <c r="V81" s="62">
        <v>0</v>
      </c>
      <c r="W81" s="62"/>
      <c r="X81" s="62">
        <v>-111477</v>
      </c>
      <c r="Y81" s="62">
        <v>0</v>
      </c>
      <c r="Z81" s="62">
        <v>947556</v>
      </c>
      <c r="AA81" s="62">
        <v>0</v>
      </c>
      <c r="AB81" s="62">
        <v>0</v>
      </c>
      <c r="AC81" s="62">
        <v>-111477</v>
      </c>
      <c r="AD81" s="62">
        <v>-111477</v>
      </c>
      <c r="AE81" s="62">
        <v>-111477</v>
      </c>
      <c r="AF81" s="62">
        <v>-111477</v>
      </c>
      <c r="AG81" s="62">
        <v>-111477</v>
      </c>
      <c r="AH81" s="62">
        <v>-390171</v>
      </c>
      <c r="AI81" s="63">
        <v>9.5</v>
      </c>
    </row>
    <row r="82" spans="2:35">
      <c r="B82" s="61" t="s">
        <v>321</v>
      </c>
      <c r="C82" s="62">
        <v>0</v>
      </c>
      <c r="D82" s="62">
        <v>0</v>
      </c>
      <c r="E82" s="62">
        <v>0</v>
      </c>
      <c r="F82" s="61">
        <v>0</v>
      </c>
      <c r="G82" s="62">
        <v>0</v>
      </c>
      <c r="H82" s="62">
        <v>0</v>
      </c>
      <c r="I82" s="62">
        <v>0</v>
      </c>
      <c r="J82" s="62">
        <v>0</v>
      </c>
      <c r="K82" s="62">
        <v>0</v>
      </c>
      <c r="L82" s="62">
        <v>0</v>
      </c>
      <c r="M82" s="62">
        <v>0</v>
      </c>
      <c r="N82" s="62">
        <v>0</v>
      </c>
      <c r="O82" s="62">
        <v>0</v>
      </c>
      <c r="P82" s="62">
        <v>0</v>
      </c>
      <c r="Q82" s="62">
        <v>0</v>
      </c>
      <c r="R82" s="62">
        <v>0</v>
      </c>
      <c r="S82" s="62">
        <v>0</v>
      </c>
      <c r="T82" s="62">
        <v>0</v>
      </c>
      <c r="U82" s="62">
        <v>0</v>
      </c>
      <c r="V82" s="62">
        <v>0</v>
      </c>
      <c r="W82" s="62"/>
      <c r="X82" s="62">
        <v>0</v>
      </c>
      <c r="Y82" s="62">
        <v>0</v>
      </c>
      <c r="Z82" s="62">
        <v>0</v>
      </c>
      <c r="AA82" s="62">
        <v>0</v>
      </c>
      <c r="AB82" s="62">
        <v>0</v>
      </c>
      <c r="AC82" s="62">
        <v>0</v>
      </c>
      <c r="AD82" s="62">
        <v>0</v>
      </c>
      <c r="AE82" s="62">
        <v>0</v>
      </c>
      <c r="AF82" s="62">
        <v>0</v>
      </c>
      <c r="AG82" s="62">
        <v>0</v>
      </c>
      <c r="AH82" s="62">
        <v>0</v>
      </c>
      <c r="AI82" s="63">
        <v>1</v>
      </c>
    </row>
    <row r="83" spans="2:35">
      <c r="B83" s="61" t="s">
        <v>322</v>
      </c>
      <c r="C83" s="62">
        <v>23</v>
      </c>
      <c r="D83" s="62">
        <v>0</v>
      </c>
      <c r="E83" s="62">
        <v>353</v>
      </c>
      <c r="F83" s="61">
        <v>366</v>
      </c>
      <c r="G83" s="62">
        <v>7283444</v>
      </c>
      <c r="H83" s="62">
        <v>7252347</v>
      </c>
      <c r="I83" s="62">
        <v>599489</v>
      </c>
      <c r="J83" s="62">
        <v>261631</v>
      </c>
      <c r="K83" s="62">
        <v>-341554</v>
      </c>
      <c r="L83" s="62">
        <v>7877258</v>
      </c>
      <c r="M83" s="62">
        <v>6723478</v>
      </c>
      <c r="N83" s="62">
        <v>6395372</v>
      </c>
      <c r="O83" s="62">
        <v>8341327</v>
      </c>
      <c r="P83" s="62">
        <v>413802</v>
      </c>
      <c r="Q83" s="62">
        <v>220540</v>
      </c>
      <c r="R83" s="62">
        <v>0</v>
      </c>
      <c r="S83" s="62">
        <v>0</v>
      </c>
      <c r="T83" s="62">
        <v>-376407</v>
      </c>
      <c r="U83" s="62">
        <v>-226838</v>
      </c>
      <c r="V83" s="62">
        <v>0</v>
      </c>
      <c r="W83" s="62"/>
      <c r="X83" s="62">
        <v>-34853</v>
      </c>
      <c r="Y83" s="62">
        <v>0</v>
      </c>
      <c r="Z83" s="62">
        <v>341554</v>
      </c>
      <c r="AA83" s="62">
        <v>0</v>
      </c>
      <c r="AB83" s="62">
        <v>0</v>
      </c>
      <c r="AC83" s="62">
        <v>-34853</v>
      </c>
      <c r="AD83" s="62">
        <v>-34853</v>
      </c>
      <c r="AE83" s="62">
        <v>-34853</v>
      </c>
      <c r="AF83" s="62">
        <v>-34853</v>
      </c>
      <c r="AG83" s="62">
        <v>-34853</v>
      </c>
      <c r="AH83" s="62">
        <v>-167289</v>
      </c>
      <c r="AI83" s="63">
        <v>10.8</v>
      </c>
    </row>
    <row r="84" spans="2:35">
      <c r="B84" s="61" t="s">
        <v>323</v>
      </c>
      <c r="C84" s="62">
        <v>20</v>
      </c>
      <c r="D84" s="62">
        <v>0</v>
      </c>
      <c r="E84" s="62">
        <v>217</v>
      </c>
      <c r="F84" s="61">
        <v>229</v>
      </c>
      <c r="G84" s="62">
        <v>3028375</v>
      </c>
      <c r="H84" s="62">
        <v>3086381</v>
      </c>
      <c r="I84" s="62">
        <v>246535</v>
      </c>
      <c r="J84" s="62">
        <v>191873</v>
      </c>
      <c r="K84" s="62">
        <v>-124171</v>
      </c>
      <c r="L84" s="62">
        <v>3246585</v>
      </c>
      <c r="M84" s="62">
        <v>2820577</v>
      </c>
      <c r="N84" s="62">
        <v>2694534</v>
      </c>
      <c r="O84" s="62">
        <v>3425394</v>
      </c>
      <c r="P84" s="62">
        <v>168562</v>
      </c>
      <c r="Q84" s="62">
        <v>92411</v>
      </c>
      <c r="R84" s="62">
        <v>0</v>
      </c>
      <c r="S84" s="62">
        <v>0</v>
      </c>
      <c r="T84" s="62">
        <v>-138609</v>
      </c>
      <c r="U84" s="62">
        <v>-180370</v>
      </c>
      <c r="V84" s="62">
        <v>0</v>
      </c>
      <c r="W84" s="62"/>
      <c r="X84" s="62">
        <v>-14438</v>
      </c>
      <c r="Y84" s="62">
        <v>0</v>
      </c>
      <c r="Z84" s="62">
        <v>124171</v>
      </c>
      <c r="AA84" s="62">
        <v>0</v>
      </c>
      <c r="AB84" s="62">
        <v>0</v>
      </c>
      <c r="AC84" s="62">
        <v>-14438</v>
      </c>
      <c r="AD84" s="62">
        <v>-14438</v>
      </c>
      <c r="AE84" s="62">
        <v>-14438</v>
      </c>
      <c r="AF84" s="62">
        <v>-14438</v>
      </c>
      <c r="AG84" s="62">
        <v>-14438</v>
      </c>
      <c r="AH84" s="62">
        <v>-51981</v>
      </c>
      <c r="AI84" s="63">
        <v>9.6</v>
      </c>
    </row>
    <row r="85" spans="2:35">
      <c r="B85" s="61" t="s">
        <v>324</v>
      </c>
      <c r="C85" s="62">
        <v>6</v>
      </c>
      <c r="D85" s="62">
        <v>0</v>
      </c>
      <c r="E85" s="62">
        <v>193</v>
      </c>
      <c r="F85" s="61">
        <v>202</v>
      </c>
      <c r="G85" s="62">
        <v>1658043</v>
      </c>
      <c r="H85" s="62">
        <v>1649536</v>
      </c>
      <c r="I85" s="62">
        <v>138793</v>
      </c>
      <c r="J85" s="62">
        <v>71671</v>
      </c>
      <c r="K85" s="62">
        <v>-69107</v>
      </c>
      <c r="L85" s="62">
        <v>1777590</v>
      </c>
      <c r="M85" s="62">
        <v>1543011</v>
      </c>
      <c r="N85" s="62">
        <v>1468305</v>
      </c>
      <c r="O85" s="62">
        <v>1881748</v>
      </c>
      <c r="P85" s="62">
        <v>96067</v>
      </c>
      <c r="Q85" s="62">
        <v>50078</v>
      </c>
      <c r="R85" s="62">
        <v>0</v>
      </c>
      <c r="S85" s="62">
        <v>0</v>
      </c>
      <c r="T85" s="62">
        <v>-76459</v>
      </c>
      <c r="U85" s="62">
        <v>-61179</v>
      </c>
      <c r="V85" s="62">
        <v>0</v>
      </c>
      <c r="W85" s="62"/>
      <c r="X85" s="62">
        <v>-7352</v>
      </c>
      <c r="Y85" s="62">
        <v>0</v>
      </c>
      <c r="Z85" s="62">
        <v>69107</v>
      </c>
      <c r="AA85" s="62">
        <v>0</v>
      </c>
      <c r="AB85" s="62">
        <v>0</v>
      </c>
      <c r="AC85" s="62">
        <v>-7352</v>
      </c>
      <c r="AD85" s="62">
        <v>-7352</v>
      </c>
      <c r="AE85" s="62">
        <v>-7352</v>
      </c>
      <c r="AF85" s="62">
        <v>-7352</v>
      </c>
      <c r="AG85" s="62">
        <v>-7352</v>
      </c>
      <c r="AH85" s="62">
        <v>-32347</v>
      </c>
      <c r="AI85" s="63">
        <v>10.4</v>
      </c>
    </row>
    <row r="86" spans="2:35">
      <c r="B86" s="61" t="s">
        <v>325</v>
      </c>
      <c r="C86" s="62">
        <v>6</v>
      </c>
      <c r="D86" s="62">
        <v>0</v>
      </c>
      <c r="E86" s="62">
        <v>120</v>
      </c>
      <c r="F86" s="61">
        <v>124</v>
      </c>
      <c r="G86" s="62">
        <v>906000</v>
      </c>
      <c r="H86" s="62">
        <v>895561</v>
      </c>
      <c r="I86" s="62">
        <v>95010</v>
      </c>
      <c r="J86" s="62">
        <v>44350</v>
      </c>
      <c r="K86" s="62">
        <v>-43820</v>
      </c>
      <c r="L86" s="62">
        <v>982042</v>
      </c>
      <c r="M86" s="62">
        <v>834191</v>
      </c>
      <c r="N86" s="62">
        <v>783278</v>
      </c>
      <c r="O86" s="62">
        <v>1055481</v>
      </c>
      <c r="P86" s="62">
        <v>72014</v>
      </c>
      <c r="Q86" s="62">
        <v>27658</v>
      </c>
      <c r="R86" s="62">
        <v>0</v>
      </c>
      <c r="S86" s="62">
        <v>0</v>
      </c>
      <c r="T86" s="62">
        <v>-48482</v>
      </c>
      <c r="U86" s="62">
        <v>-40751</v>
      </c>
      <c r="V86" s="62">
        <v>0</v>
      </c>
      <c r="W86" s="62"/>
      <c r="X86" s="62">
        <v>-4662</v>
      </c>
      <c r="Y86" s="62">
        <v>0</v>
      </c>
      <c r="Z86" s="62">
        <v>43820</v>
      </c>
      <c r="AA86" s="62">
        <v>0</v>
      </c>
      <c r="AB86" s="62">
        <v>0</v>
      </c>
      <c r="AC86" s="62">
        <v>-4662</v>
      </c>
      <c r="AD86" s="62">
        <v>-4662</v>
      </c>
      <c r="AE86" s="62">
        <v>-4662</v>
      </c>
      <c r="AF86" s="62">
        <v>-4662</v>
      </c>
      <c r="AG86" s="62">
        <v>-4662</v>
      </c>
      <c r="AH86" s="62">
        <v>-20510</v>
      </c>
      <c r="AI86" s="63">
        <v>10.4</v>
      </c>
    </row>
    <row r="87" spans="2:35">
      <c r="B87" s="61" t="s">
        <v>326</v>
      </c>
      <c r="C87" s="62">
        <v>0</v>
      </c>
      <c r="D87" s="62">
        <v>0</v>
      </c>
      <c r="E87" s="62">
        <v>1</v>
      </c>
      <c r="F87" s="61">
        <v>1</v>
      </c>
      <c r="G87" s="62">
        <v>865</v>
      </c>
      <c r="H87" s="62">
        <v>749</v>
      </c>
      <c r="I87" s="62">
        <v>119</v>
      </c>
      <c r="J87" s="62">
        <v>59</v>
      </c>
      <c r="K87" s="62">
        <v>-3</v>
      </c>
      <c r="L87" s="62">
        <v>871</v>
      </c>
      <c r="M87" s="62">
        <v>854</v>
      </c>
      <c r="N87" s="62">
        <v>836</v>
      </c>
      <c r="O87" s="62">
        <v>890</v>
      </c>
      <c r="P87" s="62">
        <v>96</v>
      </c>
      <c r="Q87" s="62">
        <v>25</v>
      </c>
      <c r="R87" s="62">
        <v>0</v>
      </c>
      <c r="S87" s="62">
        <v>0</v>
      </c>
      <c r="T87" s="62">
        <v>-5</v>
      </c>
      <c r="U87" s="62">
        <v>0</v>
      </c>
      <c r="V87" s="62">
        <v>0</v>
      </c>
      <c r="W87" s="62"/>
      <c r="X87" s="62">
        <v>-2</v>
      </c>
      <c r="Y87" s="62">
        <v>0</v>
      </c>
      <c r="Z87" s="62">
        <v>3</v>
      </c>
      <c r="AA87" s="62">
        <v>0</v>
      </c>
      <c r="AB87" s="62">
        <v>0</v>
      </c>
      <c r="AC87" s="62">
        <v>-2</v>
      </c>
      <c r="AD87" s="62">
        <v>-1</v>
      </c>
      <c r="AE87" s="62">
        <v>0</v>
      </c>
      <c r="AF87" s="62">
        <v>0</v>
      </c>
      <c r="AG87" s="62">
        <v>0</v>
      </c>
      <c r="AH87" s="62">
        <v>0</v>
      </c>
      <c r="AI87" s="63">
        <v>2.6</v>
      </c>
    </row>
    <row r="88" spans="2:35">
      <c r="B88" s="61" t="s">
        <v>327</v>
      </c>
      <c r="C88" s="62">
        <v>27</v>
      </c>
      <c r="D88" s="62">
        <v>0</v>
      </c>
      <c r="E88" s="62">
        <v>419</v>
      </c>
      <c r="F88" s="61">
        <v>448</v>
      </c>
      <c r="G88" s="62">
        <v>4063832</v>
      </c>
      <c r="H88" s="62">
        <v>4122464</v>
      </c>
      <c r="I88" s="62">
        <v>332164</v>
      </c>
      <c r="J88" s="62">
        <v>237293</v>
      </c>
      <c r="K88" s="62">
        <v>-175243</v>
      </c>
      <c r="L88" s="62">
        <v>4370526</v>
      </c>
      <c r="M88" s="62">
        <v>3774775</v>
      </c>
      <c r="N88" s="62">
        <v>3604794</v>
      </c>
      <c r="O88" s="62">
        <v>4612120</v>
      </c>
      <c r="P88" s="62">
        <v>227756</v>
      </c>
      <c r="Q88" s="62">
        <v>123879</v>
      </c>
      <c r="R88" s="62">
        <v>0</v>
      </c>
      <c r="S88" s="62">
        <v>0</v>
      </c>
      <c r="T88" s="62">
        <v>-194714</v>
      </c>
      <c r="U88" s="62">
        <v>-215553</v>
      </c>
      <c r="V88" s="62">
        <v>0</v>
      </c>
      <c r="W88" s="62"/>
      <c r="X88" s="62">
        <v>-19471</v>
      </c>
      <c r="Y88" s="62">
        <v>0</v>
      </c>
      <c r="Z88" s="62">
        <v>175243</v>
      </c>
      <c r="AA88" s="62">
        <v>0</v>
      </c>
      <c r="AB88" s="62">
        <v>0</v>
      </c>
      <c r="AC88" s="62">
        <v>-19471</v>
      </c>
      <c r="AD88" s="62">
        <v>-19471</v>
      </c>
      <c r="AE88" s="62">
        <v>-19471</v>
      </c>
      <c r="AF88" s="62">
        <v>-19471</v>
      </c>
      <c r="AG88" s="62">
        <v>-19471</v>
      </c>
      <c r="AH88" s="62">
        <v>-77888</v>
      </c>
      <c r="AI88" s="63">
        <v>10</v>
      </c>
    </row>
    <row r="89" spans="2:35">
      <c r="B89" s="61" t="s">
        <v>328</v>
      </c>
      <c r="C89" s="62">
        <v>1</v>
      </c>
      <c r="D89" s="62">
        <v>0</v>
      </c>
      <c r="E89" s="62">
        <v>8</v>
      </c>
      <c r="F89" s="61">
        <v>8</v>
      </c>
      <c r="G89" s="62">
        <v>37928</v>
      </c>
      <c r="H89" s="62">
        <v>44995</v>
      </c>
      <c r="I89" s="62">
        <v>2202</v>
      </c>
      <c r="J89" s="62">
        <v>8650</v>
      </c>
      <c r="K89" s="62">
        <v>-696</v>
      </c>
      <c r="L89" s="62">
        <v>39185</v>
      </c>
      <c r="M89" s="62">
        <v>36744</v>
      </c>
      <c r="N89" s="62">
        <v>36031</v>
      </c>
      <c r="O89" s="62">
        <v>40140</v>
      </c>
      <c r="P89" s="62">
        <v>1110</v>
      </c>
      <c r="Q89" s="62">
        <v>1221</v>
      </c>
      <c r="R89" s="62">
        <v>0</v>
      </c>
      <c r="S89" s="62">
        <v>0</v>
      </c>
      <c r="T89" s="62">
        <v>-825</v>
      </c>
      <c r="U89" s="62">
        <v>-8573</v>
      </c>
      <c r="V89" s="62">
        <v>0</v>
      </c>
      <c r="W89" s="62"/>
      <c r="X89" s="62">
        <v>-129</v>
      </c>
      <c r="Y89" s="62">
        <v>0</v>
      </c>
      <c r="Z89" s="62">
        <v>696</v>
      </c>
      <c r="AA89" s="62">
        <v>0</v>
      </c>
      <c r="AB89" s="62">
        <v>0</v>
      </c>
      <c r="AC89" s="62">
        <v>-129</v>
      </c>
      <c r="AD89" s="62">
        <v>-129</v>
      </c>
      <c r="AE89" s="62">
        <v>-129</v>
      </c>
      <c r="AF89" s="62">
        <v>-129</v>
      </c>
      <c r="AG89" s="62">
        <v>-129</v>
      </c>
      <c r="AH89" s="62">
        <v>-51</v>
      </c>
      <c r="AI89" s="63">
        <v>6.4</v>
      </c>
    </row>
    <row r="90" spans="2:35">
      <c r="B90" s="61" t="s">
        <v>329</v>
      </c>
      <c r="C90" s="62">
        <v>37</v>
      </c>
      <c r="D90" s="62">
        <v>0</v>
      </c>
      <c r="E90" s="62">
        <v>454</v>
      </c>
      <c r="F90" s="61">
        <v>473</v>
      </c>
      <c r="G90" s="62">
        <v>7239833</v>
      </c>
      <c r="H90" s="62">
        <v>7310671</v>
      </c>
      <c r="I90" s="62">
        <v>586472</v>
      </c>
      <c r="J90" s="62">
        <v>375525</v>
      </c>
      <c r="K90" s="62">
        <v>-316407</v>
      </c>
      <c r="L90" s="62">
        <v>7792002</v>
      </c>
      <c r="M90" s="62">
        <v>6717509</v>
      </c>
      <c r="N90" s="62">
        <v>6411911</v>
      </c>
      <c r="O90" s="62">
        <v>8229028</v>
      </c>
      <c r="P90" s="62">
        <v>400311</v>
      </c>
      <c r="Q90" s="62">
        <v>220183</v>
      </c>
      <c r="R90" s="62">
        <v>0</v>
      </c>
      <c r="S90" s="62">
        <v>0</v>
      </c>
      <c r="T90" s="62">
        <v>-350429</v>
      </c>
      <c r="U90" s="62">
        <v>-340903</v>
      </c>
      <c r="V90" s="62">
        <v>0</v>
      </c>
      <c r="W90" s="62"/>
      <c r="X90" s="62">
        <v>-34022</v>
      </c>
      <c r="Y90" s="62">
        <v>0</v>
      </c>
      <c r="Z90" s="62">
        <v>316407</v>
      </c>
      <c r="AA90" s="62">
        <v>0</v>
      </c>
      <c r="AB90" s="62">
        <v>0</v>
      </c>
      <c r="AC90" s="62">
        <v>-34022</v>
      </c>
      <c r="AD90" s="62">
        <v>-34022</v>
      </c>
      <c r="AE90" s="62">
        <v>-34022</v>
      </c>
      <c r="AF90" s="62">
        <v>-34022</v>
      </c>
      <c r="AG90" s="62">
        <v>-34022</v>
      </c>
      <c r="AH90" s="62">
        <v>-146297</v>
      </c>
      <c r="AI90" s="63">
        <v>10.3</v>
      </c>
    </row>
    <row r="91" spans="2:35">
      <c r="B91" s="61" t="s">
        <v>330</v>
      </c>
      <c r="C91" s="62">
        <v>26</v>
      </c>
      <c r="D91" s="62">
        <v>0</v>
      </c>
      <c r="E91" s="62">
        <v>427</v>
      </c>
      <c r="F91" s="61">
        <v>466</v>
      </c>
      <c r="G91" s="62">
        <v>5362700</v>
      </c>
      <c r="H91" s="62">
        <v>5380378</v>
      </c>
      <c r="I91" s="62">
        <v>445050</v>
      </c>
      <c r="J91" s="62">
        <v>219806</v>
      </c>
      <c r="K91" s="62">
        <v>-249285</v>
      </c>
      <c r="L91" s="62">
        <v>5797205</v>
      </c>
      <c r="M91" s="62">
        <v>4950273</v>
      </c>
      <c r="N91" s="62">
        <v>4698964</v>
      </c>
      <c r="O91" s="62">
        <v>6155316</v>
      </c>
      <c r="P91" s="62">
        <v>308569</v>
      </c>
      <c r="Q91" s="62">
        <v>163001</v>
      </c>
      <c r="R91" s="62">
        <v>0</v>
      </c>
      <c r="S91" s="62">
        <v>0</v>
      </c>
      <c r="T91" s="62">
        <v>-275805</v>
      </c>
      <c r="U91" s="62">
        <v>-213443</v>
      </c>
      <c r="V91" s="62">
        <v>0</v>
      </c>
      <c r="W91" s="62"/>
      <c r="X91" s="62">
        <v>-26520</v>
      </c>
      <c r="Y91" s="62">
        <v>0</v>
      </c>
      <c r="Z91" s="62">
        <v>249285</v>
      </c>
      <c r="AA91" s="62">
        <v>0</v>
      </c>
      <c r="AB91" s="62">
        <v>0</v>
      </c>
      <c r="AC91" s="62">
        <v>-26520</v>
      </c>
      <c r="AD91" s="62">
        <v>-26520</v>
      </c>
      <c r="AE91" s="62">
        <v>-26520</v>
      </c>
      <c r="AF91" s="62">
        <v>-26520</v>
      </c>
      <c r="AG91" s="62">
        <v>-26520</v>
      </c>
      <c r="AH91" s="62">
        <v>-116685</v>
      </c>
      <c r="AI91" s="63">
        <v>10.4</v>
      </c>
    </row>
    <row r="92" spans="2:35">
      <c r="B92" s="61" t="s">
        <v>331</v>
      </c>
      <c r="C92" s="62">
        <v>21</v>
      </c>
      <c r="D92" s="62">
        <v>0</v>
      </c>
      <c r="E92" s="62">
        <v>180</v>
      </c>
      <c r="F92" s="61">
        <v>188</v>
      </c>
      <c r="G92" s="62">
        <v>3407546</v>
      </c>
      <c r="H92" s="62">
        <v>3488013</v>
      </c>
      <c r="I92" s="62">
        <v>247769</v>
      </c>
      <c r="J92" s="62">
        <v>198836</v>
      </c>
      <c r="K92" s="62">
        <v>-137164</v>
      </c>
      <c r="L92" s="62">
        <v>3648010</v>
      </c>
      <c r="M92" s="62">
        <v>3178688</v>
      </c>
      <c r="N92" s="62">
        <v>3047919</v>
      </c>
      <c r="O92" s="62">
        <v>3832266</v>
      </c>
      <c r="P92" s="62">
        <v>159634</v>
      </c>
      <c r="Q92" s="62">
        <v>103722</v>
      </c>
      <c r="R92" s="62">
        <v>0</v>
      </c>
      <c r="S92" s="62">
        <v>0</v>
      </c>
      <c r="T92" s="62">
        <v>-152751</v>
      </c>
      <c r="U92" s="62">
        <v>-191072</v>
      </c>
      <c r="V92" s="62">
        <v>0</v>
      </c>
      <c r="W92" s="62"/>
      <c r="X92" s="62">
        <v>-15587</v>
      </c>
      <c r="Y92" s="62">
        <v>0</v>
      </c>
      <c r="Z92" s="62">
        <v>137164</v>
      </c>
      <c r="AA92" s="62">
        <v>0</v>
      </c>
      <c r="AB92" s="62">
        <v>0</v>
      </c>
      <c r="AC92" s="62">
        <v>-15587</v>
      </c>
      <c r="AD92" s="62">
        <v>-15587</v>
      </c>
      <c r="AE92" s="62">
        <v>-15587</v>
      </c>
      <c r="AF92" s="62">
        <v>-15587</v>
      </c>
      <c r="AG92" s="62">
        <v>-15587</v>
      </c>
      <c r="AH92" s="62">
        <v>-59229</v>
      </c>
      <c r="AI92" s="63">
        <v>9.8000000000000007</v>
      </c>
    </row>
    <row r="93" spans="2:35">
      <c r="B93" s="61" t="s">
        <v>332</v>
      </c>
      <c r="C93" s="62">
        <v>31</v>
      </c>
      <c r="D93" s="62">
        <v>0</v>
      </c>
      <c r="E93" s="62">
        <v>422</v>
      </c>
      <c r="F93" s="61">
        <v>450</v>
      </c>
      <c r="G93" s="62">
        <v>4529031</v>
      </c>
      <c r="H93" s="62">
        <v>4631907</v>
      </c>
      <c r="I93" s="62">
        <v>380779</v>
      </c>
      <c r="J93" s="62">
        <v>318772</v>
      </c>
      <c r="K93" s="62">
        <v>-186589</v>
      </c>
      <c r="L93" s="62">
        <v>4855563</v>
      </c>
      <c r="M93" s="62">
        <v>4216181</v>
      </c>
      <c r="N93" s="62">
        <v>4014076</v>
      </c>
      <c r="O93" s="62">
        <v>5138620</v>
      </c>
      <c r="P93" s="62">
        <v>263146</v>
      </c>
      <c r="Q93" s="62">
        <v>138598</v>
      </c>
      <c r="R93" s="62">
        <v>0</v>
      </c>
      <c r="S93" s="62">
        <v>0</v>
      </c>
      <c r="T93" s="62">
        <v>-207554</v>
      </c>
      <c r="U93" s="62">
        <v>-297066</v>
      </c>
      <c r="V93" s="62">
        <v>0</v>
      </c>
      <c r="W93" s="62"/>
      <c r="X93" s="62">
        <v>-20965</v>
      </c>
      <c r="Y93" s="62">
        <v>0</v>
      </c>
      <c r="Z93" s="62">
        <v>186589</v>
      </c>
      <c r="AA93" s="62">
        <v>0</v>
      </c>
      <c r="AB93" s="62">
        <v>0</v>
      </c>
      <c r="AC93" s="62">
        <v>-20965</v>
      </c>
      <c r="AD93" s="62">
        <v>-20965</v>
      </c>
      <c r="AE93" s="62">
        <v>-20965</v>
      </c>
      <c r="AF93" s="62">
        <v>-20965</v>
      </c>
      <c r="AG93" s="62">
        <v>-20965</v>
      </c>
      <c r="AH93" s="62">
        <v>-81764</v>
      </c>
      <c r="AI93" s="63">
        <v>9.9</v>
      </c>
    </row>
    <row r="94" spans="2:35">
      <c r="B94" s="61" t="s">
        <v>333</v>
      </c>
      <c r="C94" s="62">
        <v>42</v>
      </c>
      <c r="D94" s="62">
        <v>0</v>
      </c>
      <c r="E94" s="62">
        <v>555</v>
      </c>
      <c r="F94" s="61">
        <v>603</v>
      </c>
      <c r="G94" s="62">
        <v>8579449</v>
      </c>
      <c r="H94" s="62">
        <v>8631138</v>
      </c>
      <c r="I94" s="62">
        <v>757731</v>
      </c>
      <c r="J94" s="62">
        <v>443364</v>
      </c>
      <c r="K94" s="62">
        <v>-381294</v>
      </c>
      <c r="L94" s="62">
        <v>9245212</v>
      </c>
      <c r="M94" s="62">
        <v>7943746</v>
      </c>
      <c r="N94" s="62">
        <v>7533158</v>
      </c>
      <c r="O94" s="62">
        <v>9822730</v>
      </c>
      <c r="P94" s="62">
        <v>538139</v>
      </c>
      <c r="Q94" s="62">
        <v>261492</v>
      </c>
      <c r="R94" s="62">
        <v>0</v>
      </c>
      <c r="S94" s="62">
        <v>0</v>
      </c>
      <c r="T94" s="62">
        <v>-423194</v>
      </c>
      <c r="U94" s="62">
        <v>-428126</v>
      </c>
      <c r="V94" s="62">
        <v>0</v>
      </c>
      <c r="W94" s="62"/>
      <c r="X94" s="62">
        <v>-41900</v>
      </c>
      <c r="Y94" s="62">
        <v>0</v>
      </c>
      <c r="Z94" s="62">
        <v>381294</v>
      </c>
      <c r="AA94" s="62">
        <v>0</v>
      </c>
      <c r="AB94" s="62">
        <v>0</v>
      </c>
      <c r="AC94" s="62">
        <v>-41900</v>
      </c>
      <c r="AD94" s="62">
        <v>-41900</v>
      </c>
      <c r="AE94" s="62">
        <v>-41900</v>
      </c>
      <c r="AF94" s="62">
        <v>-41900</v>
      </c>
      <c r="AG94" s="62">
        <v>-41900</v>
      </c>
      <c r="AH94" s="62">
        <v>-171794</v>
      </c>
      <c r="AI94" s="63">
        <v>10.1</v>
      </c>
    </row>
    <row r="95" spans="2:35">
      <c r="B95" s="61" t="s">
        <v>334</v>
      </c>
      <c r="C95" s="62">
        <v>171</v>
      </c>
      <c r="D95" s="62">
        <v>0</v>
      </c>
      <c r="E95" s="62">
        <v>1255</v>
      </c>
      <c r="F95" s="61">
        <v>1362</v>
      </c>
      <c r="G95" s="62">
        <v>30190680</v>
      </c>
      <c r="H95" s="62">
        <v>30603657</v>
      </c>
      <c r="I95" s="62">
        <v>2552948</v>
      </c>
      <c r="J95" s="62">
        <v>1955367</v>
      </c>
      <c r="K95" s="62">
        <v>-1145030</v>
      </c>
      <c r="L95" s="62">
        <v>32209572</v>
      </c>
      <c r="M95" s="62">
        <v>28265479</v>
      </c>
      <c r="N95" s="62">
        <v>27093823</v>
      </c>
      <c r="O95" s="62">
        <v>33841644</v>
      </c>
      <c r="P95" s="62">
        <v>1770520</v>
      </c>
      <c r="Q95" s="62">
        <v>918741</v>
      </c>
      <c r="R95" s="62">
        <v>0</v>
      </c>
      <c r="S95" s="62">
        <v>0</v>
      </c>
      <c r="T95" s="62">
        <v>-1281343</v>
      </c>
      <c r="U95" s="62">
        <v>-1820895</v>
      </c>
      <c r="V95" s="62">
        <v>0</v>
      </c>
      <c r="W95" s="62"/>
      <c r="X95" s="62">
        <v>-136313</v>
      </c>
      <c r="Y95" s="62">
        <v>0</v>
      </c>
      <c r="Z95" s="62">
        <v>1145030</v>
      </c>
      <c r="AA95" s="62">
        <v>0</v>
      </c>
      <c r="AB95" s="62">
        <v>0</v>
      </c>
      <c r="AC95" s="62">
        <v>-136313</v>
      </c>
      <c r="AD95" s="62">
        <v>-136313</v>
      </c>
      <c r="AE95" s="62">
        <v>-136313</v>
      </c>
      <c r="AF95" s="62">
        <v>-136313</v>
      </c>
      <c r="AG95" s="62">
        <v>-136313</v>
      </c>
      <c r="AH95" s="62">
        <v>-463465</v>
      </c>
      <c r="AI95" s="63">
        <v>9.4</v>
      </c>
    </row>
    <row r="96" spans="2:35">
      <c r="B96" s="61" t="s">
        <v>335</v>
      </c>
      <c r="C96" s="62">
        <v>5</v>
      </c>
      <c r="D96" s="62">
        <v>0</v>
      </c>
      <c r="E96" s="62">
        <v>124</v>
      </c>
      <c r="F96" s="61">
        <v>129</v>
      </c>
      <c r="G96" s="62">
        <v>1561788</v>
      </c>
      <c r="H96" s="62">
        <v>1543968</v>
      </c>
      <c r="I96" s="62">
        <v>124582</v>
      </c>
      <c r="J96" s="62">
        <v>45804</v>
      </c>
      <c r="K96" s="62">
        <v>-68707</v>
      </c>
      <c r="L96" s="62">
        <v>1681733</v>
      </c>
      <c r="M96" s="62">
        <v>1447764</v>
      </c>
      <c r="N96" s="62">
        <v>1381042</v>
      </c>
      <c r="O96" s="62">
        <v>1776382</v>
      </c>
      <c r="P96" s="62">
        <v>85039</v>
      </c>
      <c r="Q96" s="62">
        <v>47011</v>
      </c>
      <c r="R96" s="62">
        <v>0</v>
      </c>
      <c r="S96" s="62">
        <v>0</v>
      </c>
      <c r="T96" s="62">
        <v>-76175</v>
      </c>
      <c r="U96" s="62">
        <v>-38055</v>
      </c>
      <c r="V96" s="62">
        <v>0</v>
      </c>
      <c r="W96" s="62"/>
      <c r="X96" s="62">
        <v>-7468</v>
      </c>
      <c r="Y96" s="62">
        <v>0</v>
      </c>
      <c r="Z96" s="62">
        <v>68707</v>
      </c>
      <c r="AA96" s="62">
        <v>0</v>
      </c>
      <c r="AB96" s="62">
        <v>0</v>
      </c>
      <c r="AC96" s="62">
        <v>-7468</v>
      </c>
      <c r="AD96" s="62">
        <v>-7468</v>
      </c>
      <c r="AE96" s="62">
        <v>-7468</v>
      </c>
      <c r="AF96" s="62">
        <v>-7468</v>
      </c>
      <c r="AG96" s="62">
        <v>-7468</v>
      </c>
      <c r="AH96" s="62">
        <v>-31367</v>
      </c>
      <c r="AI96" s="63">
        <v>10.199999999999999</v>
      </c>
    </row>
    <row r="97" spans="2:35">
      <c r="B97" s="61" t="s">
        <v>336</v>
      </c>
      <c r="C97" s="62">
        <v>41</v>
      </c>
      <c r="D97" s="62">
        <v>0</v>
      </c>
      <c r="E97" s="62">
        <v>555</v>
      </c>
      <c r="F97" s="61">
        <v>593</v>
      </c>
      <c r="G97" s="62">
        <v>5996971</v>
      </c>
      <c r="H97" s="62">
        <v>6034642</v>
      </c>
      <c r="I97" s="62">
        <v>526175</v>
      </c>
      <c r="J97" s="62">
        <v>354804</v>
      </c>
      <c r="K97" s="62">
        <v>-253913</v>
      </c>
      <c r="L97" s="62">
        <v>6442242</v>
      </c>
      <c r="M97" s="62">
        <v>5572834</v>
      </c>
      <c r="N97" s="62">
        <v>5302216</v>
      </c>
      <c r="O97" s="62">
        <v>6827725</v>
      </c>
      <c r="P97" s="62">
        <v>372466</v>
      </c>
      <c r="Q97" s="62">
        <v>182563</v>
      </c>
      <c r="R97" s="62">
        <v>0</v>
      </c>
      <c r="S97" s="62">
        <v>0</v>
      </c>
      <c r="T97" s="62">
        <v>-282767</v>
      </c>
      <c r="U97" s="62">
        <v>-309933</v>
      </c>
      <c r="V97" s="62">
        <v>0</v>
      </c>
      <c r="W97" s="62"/>
      <c r="X97" s="62">
        <v>-28854</v>
      </c>
      <c r="Y97" s="62">
        <v>0</v>
      </c>
      <c r="Z97" s="62">
        <v>253913</v>
      </c>
      <c r="AA97" s="62">
        <v>0</v>
      </c>
      <c r="AB97" s="62">
        <v>0</v>
      </c>
      <c r="AC97" s="62">
        <v>-28854</v>
      </c>
      <c r="AD97" s="62">
        <v>-28854</v>
      </c>
      <c r="AE97" s="62">
        <v>-28854</v>
      </c>
      <c r="AF97" s="62">
        <v>-28854</v>
      </c>
      <c r="AG97" s="62">
        <v>-28854</v>
      </c>
      <c r="AH97" s="62">
        <v>-109643</v>
      </c>
      <c r="AI97" s="63">
        <v>9.8000000000000007</v>
      </c>
    </row>
    <row r="98" spans="2:35">
      <c r="B98" s="61" t="s">
        <v>337</v>
      </c>
      <c r="C98" s="62">
        <v>26</v>
      </c>
      <c r="D98" s="62">
        <v>0</v>
      </c>
      <c r="E98" s="62">
        <v>496</v>
      </c>
      <c r="F98" s="61">
        <v>536</v>
      </c>
      <c r="G98" s="62">
        <v>8947353</v>
      </c>
      <c r="H98" s="62">
        <v>8862590</v>
      </c>
      <c r="I98" s="62">
        <v>799983</v>
      </c>
      <c r="J98" s="62">
        <v>380546</v>
      </c>
      <c r="K98" s="62">
        <v>-388827</v>
      </c>
      <c r="L98" s="62">
        <v>9623129</v>
      </c>
      <c r="M98" s="62">
        <v>8302133</v>
      </c>
      <c r="N98" s="62">
        <v>7872161</v>
      </c>
      <c r="O98" s="62">
        <v>10231489</v>
      </c>
      <c r="P98" s="62">
        <v>569825</v>
      </c>
      <c r="Q98" s="62">
        <v>270661</v>
      </c>
      <c r="R98" s="62">
        <v>0</v>
      </c>
      <c r="S98" s="62">
        <v>0</v>
      </c>
      <c r="T98" s="62">
        <v>-429330</v>
      </c>
      <c r="U98" s="62">
        <v>-326393</v>
      </c>
      <c r="V98" s="62">
        <v>0</v>
      </c>
      <c r="W98" s="62"/>
      <c r="X98" s="62">
        <v>-40503</v>
      </c>
      <c r="Y98" s="62">
        <v>0</v>
      </c>
      <c r="Z98" s="62">
        <v>388827</v>
      </c>
      <c r="AA98" s="62">
        <v>0</v>
      </c>
      <c r="AB98" s="62">
        <v>0</v>
      </c>
      <c r="AC98" s="62">
        <v>-40503</v>
      </c>
      <c r="AD98" s="62">
        <v>-40503</v>
      </c>
      <c r="AE98" s="62">
        <v>-40503</v>
      </c>
      <c r="AF98" s="62">
        <v>-40503</v>
      </c>
      <c r="AG98" s="62">
        <v>-40503</v>
      </c>
      <c r="AH98" s="62">
        <v>-186312</v>
      </c>
      <c r="AI98" s="63">
        <v>10.6</v>
      </c>
    </row>
    <row r="99" spans="2:35">
      <c r="B99" s="61" t="s">
        <v>338</v>
      </c>
      <c r="C99" s="62">
        <v>8</v>
      </c>
      <c r="D99" s="62">
        <v>0</v>
      </c>
      <c r="E99" s="62">
        <v>213</v>
      </c>
      <c r="F99" s="61">
        <v>224</v>
      </c>
      <c r="G99" s="62">
        <v>1849079</v>
      </c>
      <c r="H99" s="62">
        <v>1828749</v>
      </c>
      <c r="I99" s="62">
        <v>171140</v>
      </c>
      <c r="J99" s="62">
        <v>76634</v>
      </c>
      <c r="K99" s="62">
        <v>-84863</v>
      </c>
      <c r="L99" s="62">
        <v>1995596</v>
      </c>
      <c r="M99" s="62">
        <v>1709192</v>
      </c>
      <c r="N99" s="62">
        <v>1614335</v>
      </c>
      <c r="O99" s="62">
        <v>2130612</v>
      </c>
      <c r="P99" s="62">
        <v>123499</v>
      </c>
      <c r="Q99" s="62">
        <v>56043</v>
      </c>
      <c r="R99" s="62">
        <v>0</v>
      </c>
      <c r="S99" s="62">
        <v>0</v>
      </c>
      <c r="T99" s="62">
        <v>-93265</v>
      </c>
      <c r="U99" s="62">
        <v>-65947</v>
      </c>
      <c r="V99" s="62">
        <v>0</v>
      </c>
      <c r="W99" s="62"/>
      <c r="X99" s="62">
        <v>-8402</v>
      </c>
      <c r="Y99" s="62">
        <v>0</v>
      </c>
      <c r="Z99" s="62">
        <v>84863</v>
      </c>
      <c r="AA99" s="62">
        <v>0</v>
      </c>
      <c r="AB99" s="62">
        <v>0</v>
      </c>
      <c r="AC99" s="62">
        <v>-8402</v>
      </c>
      <c r="AD99" s="62">
        <v>-8402</v>
      </c>
      <c r="AE99" s="62">
        <v>-8402</v>
      </c>
      <c r="AF99" s="62">
        <v>-8402</v>
      </c>
      <c r="AG99" s="62">
        <v>-8402</v>
      </c>
      <c r="AH99" s="62">
        <v>-42853</v>
      </c>
      <c r="AI99" s="63">
        <v>11.1</v>
      </c>
    </row>
    <row r="100" spans="2:35">
      <c r="B100" s="61" t="s">
        <v>339</v>
      </c>
      <c r="C100" s="62">
        <v>25</v>
      </c>
      <c r="D100" s="62">
        <v>0</v>
      </c>
      <c r="E100" s="62">
        <v>236</v>
      </c>
      <c r="F100" s="61">
        <v>243</v>
      </c>
      <c r="G100" s="62">
        <v>4113531</v>
      </c>
      <c r="H100" s="62">
        <v>4266857</v>
      </c>
      <c r="I100" s="62">
        <v>328741</v>
      </c>
      <c r="J100" s="62">
        <v>348393</v>
      </c>
      <c r="K100" s="62">
        <v>-149424</v>
      </c>
      <c r="L100" s="62">
        <v>4375433</v>
      </c>
      <c r="M100" s="62">
        <v>3862831</v>
      </c>
      <c r="N100" s="62">
        <v>3707988</v>
      </c>
      <c r="O100" s="62">
        <v>4590875</v>
      </c>
      <c r="P100" s="62">
        <v>219574</v>
      </c>
      <c r="Q100" s="62">
        <v>126147</v>
      </c>
      <c r="R100" s="62">
        <v>0</v>
      </c>
      <c r="S100" s="62">
        <v>0</v>
      </c>
      <c r="T100" s="62">
        <v>-166404</v>
      </c>
      <c r="U100" s="62">
        <v>-332643</v>
      </c>
      <c r="V100" s="62">
        <v>0</v>
      </c>
      <c r="W100" s="62"/>
      <c r="X100" s="62">
        <v>-16980</v>
      </c>
      <c r="Y100" s="62">
        <v>0</v>
      </c>
      <c r="Z100" s="62">
        <v>149424</v>
      </c>
      <c r="AA100" s="62">
        <v>0</v>
      </c>
      <c r="AB100" s="62">
        <v>0</v>
      </c>
      <c r="AC100" s="62">
        <v>-16980</v>
      </c>
      <c r="AD100" s="62">
        <v>-16980</v>
      </c>
      <c r="AE100" s="62">
        <v>-16980</v>
      </c>
      <c r="AF100" s="62">
        <v>-16980</v>
      </c>
      <c r="AG100" s="62">
        <v>-16980</v>
      </c>
      <c r="AH100" s="62">
        <v>-64524</v>
      </c>
      <c r="AI100" s="63">
        <v>9.8000000000000007</v>
      </c>
    </row>
    <row r="101" spans="2:35">
      <c r="B101" s="61" t="s">
        <v>340</v>
      </c>
      <c r="C101" s="62">
        <v>31</v>
      </c>
      <c r="D101" s="62">
        <v>0</v>
      </c>
      <c r="E101" s="62">
        <v>536</v>
      </c>
      <c r="F101" s="61">
        <v>566</v>
      </c>
      <c r="G101" s="62">
        <v>10569718</v>
      </c>
      <c r="H101" s="62">
        <v>10428633</v>
      </c>
      <c r="I101" s="62">
        <v>911739</v>
      </c>
      <c r="J101" s="62">
        <v>366829</v>
      </c>
      <c r="K101" s="62">
        <v>-456422</v>
      </c>
      <c r="L101" s="62">
        <v>11367040</v>
      </c>
      <c r="M101" s="62">
        <v>9806735</v>
      </c>
      <c r="N101" s="62">
        <v>9314388</v>
      </c>
      <c r="O101" s="62">
        <v>12055575</v>
      </c>
      <c r="P101" s="62">
        <v>642656</v>
      </c>
      <c r="Q101" s="62">
        <v>318694</v>
      </c>
      <c r="R101" s="62">
        <v>0</v>
      </c>
      <c r="S101" s="62">
        <v>0</v>
      </c>
      <c r="T101" s="62">
        <v>-506033</v>
      </c>
      <c r="U101" s="62">
        <v>-314232</v>
      </c>
      <c r="V101" s="62">
        <v>0</v>
      </c>
      <c r="W101" s="62"/>
      <c r="X101" s="62">
        <v>-49611</v>
      </c>
      <c r="Y101" s="62">
        <v>0</v>
      </c>
      <c r="Z101" s="62">
        <v>456422</v>
      </c>
      <c r="AA101" s="62">
        <v>0</v>
      </c>
      <c r="AB101" s="62">
        <v>0</v>
      </c>
      <c r="AC101" s="62">
        <v>-49611</v>
      </c>
      <c r="AD101" s="62">
        <v>-49611</v>
      </c>
      <c r="AE101" s="62">
        <v>-49611</v>
      </c>
      <c r="AF101" s="62">
        <v>-49611</v>
      </c>
      <c r="AG101" s="62">
        <v>-49611</v>
      </c>
      <c r="AH101" s="62">
        <v>-208367</v>
      </c>
      <c r="AI101" s="63">
        <v>10.199999999999999</v>
      </c>
    </row>
    <row r="102" spans="2:35">
      <c r="B102" s="61" t="s">
        <v>341</v>
      </c>
      <c r="C102" s="62">
        <v>10</v>
      </c>
      <c r="D102" s="62">
        <v>0</v>
      </c>
      <c r="E102" s="62">
        <v>113</v>
      </c>
      <c r="F102" s="61">
        <v>119</v>
      </c>
      <c r="G102" s="62">
        <v>1826314</v>
      </c>
      <c r="H102" s="62">
        <v>1895608</v>
      </c>
      <c r="I102" s="62">
        <v>146562</v>
      </c>
      <c r="J102" s="62">
        <v>117546</v>
      </c>
      <c r="K102" s="62">
        <v>-83142</v>
      </c>
      <c r="L102" s="62">
        <v>1971722</v>
      </c>
      <c r="M102" s="62">
        <v>1688397</v>
      </c>
      <c r="N102" s="62">
        <v>1604427</v>
      </c>
      <c r="O102" s="62">
        <v>2092072</v>
      </c>
      <c r="P102" s="62">
        <v>99481</v>
      </c>
      <c r="Q102" s="62">
        <v>56319</v>
      </c>
      <c r="R102" s="62">
        <v>0</v>
      </c>
      <c r="S102" s="62">
        <v>0</v>
      </c>
      <c r="T102" s="62">
        <v>-92380</v>
      </c>
      <c r="U102" s="62">
        <v>-132714</v>
      </c>
      <c r="V102" s="62">
        <v>0</v>
      </c>
      <c r="W102" s="62"/>
      <c r="X102" s="62">
        <v>-9238</v>
      </c>
      <c r="Y102" s="62">
        <v>0</v>
      </c>
      <c r="Z102" s="62">
        <v>83142</v>
      </c>
      <c r="AA102" s="62">
        <v>0</v>
      </c>
      <c r="AB102" s="62">
        <v>0</v>
      </c>
      <c r="AC102" s="62">
        <v>-9238</v>
      </c>
      <c r="AD102" s="62">
        <v>-9238</v>
      </c>
      <c r="AE102" s="62">
        <v>-9238</v>
      </c>
      <c r="AF102" s="62">
        <v>-9238</v>
      </c>
      <c r="AG102" s="62">
        <v>-9238</v>
      </c>
      <c r="AH102" s="62">
        <v>-36952</v>
      </c>
      <c r="AI102" s="63">
        <v>10</v>
      </c>
    </row>
    <row r="103" spans="2:35">
      <c r="B103" s="61" t="s">
        <v>342</v>
      </c>
      <c r="C103" s="62">
        <v>17</v>
      </c>
      <c r="D103" s="62">
        <v>0</v>
      </c>
      <c r="E103" s="62">
        <v>349</v>
      </c>
      <c r="F103" s="61">
        <v>369</v>
      </c>
      <c r="G103" s="62">
        <v>3859090</v>
      </c>
      <c r="H103" s="62">
        <v>3828329</v>
      </c>
      <c r="I103" s="62">
        <v>338640</v>
      </c>
      <c r="J103" s="62">
        <v>157822</v>
      </c>
      <c r="K103" s="62">
        <v>-168263</v>
      </c>
      <c r="L103" s="62">
        <v>4151587</v>
      </c>
      <c r="M103" s="62">
        <v>3579206</v>
      </c>
      <c r="N103" s="62">
        <v>3392634</v>
      </c>
      <c r="O103" s="62">
        <v>4412150</v>
      </c>
      <c r="P103" s="62">
        <v>239607</v>
      </c>
      <c r="Q103" s="62">
        <v>116745</v>
      </c>
      <c r="R103" s="62">
        <v>0</v>
      </c>
      <c r="S103" s="62">
        <v>0</v>
      </c>
      <c r="T103" s="62">
        <v>-185975</v>
      </c>
      <c r="U103" s="62">
        <v>-139616</v>
      </c>
      <c r="V103" s="62">
        <v>0</v>
      </c>
      <c r="W103" s="62"/>
      <c r="X103" s="62">
        <v>-17712</v>
      </c>
      <c r="Y103" s="62">
        <v>0</v>
      </c>
      <c r="Z103" s="62">
        <v>168263</v>
      </c>
      <c r="AA103" s="62">
        <v>0</v>
      </c>
      <c r="AB103" s="62">
        <v>0</v>
      </c>
      <c r="AC103" s="62">
        <v>-17712</v>
      </c>
      <c r="AD103" s="62">
        <v>-17712</v>
      </c>
      <c r="AE103" s="62">
        <v>-17712</v>
      </c>
      <c r="AF103" s="62">
        <v>-17712</v>
      </c>
      <c r="AG103" s="62">
        <v>-17712</v>
      </c>
      <c r="AH103" s="62">
        <v>-79703</v>
      </c>
      <c r="AI103" s="63">
        <v>10.5</v>
      </c>
    </row>
    <row r="104" spans="2:35">
      <c r="B104" s="61" t="s">
        <v>343</v>
      </c>
      <c r="C104" s="62">
        <v>0</v>
      </c>
      <c r="D104" s="62">
        <v>0</v>
      </c>
      <c r="E104" s="62">
        <v>0</v>
      </c>
      <c r="F104" s="61">
        <v>0</v>
      </c>
      <c r="G104" s="62">
        <v>0</v>
      </c>
      <c r="H104" s="62">
        <v>0</v>
      </c>
      <c r="I104" s="62">
        <v>0</v>
      </c>
      <c r="J104" s="62">
        <v>0</v>
      </c>
      <c r="K104" s="62">
        <v>0</v>
      </c>
      <c r="L104" s="62">
        <v>0</v>
      </c>
      <c r="M104" s="62">
        <v>0</v>
      </c>
      <c r="N104" s="62">
        <v>0</v>
      </c>
      <c r="O104" s="62">
        <v>0</v>
      </c>
      <c r="P104" s="62">
        <v>0</v>
      </c>
      <c r="Q104" s="62">
        <v>0</v>
      </c>
      <c r="R104" s="62">
        <v>0</v>
      </c>
      <c r="S104" s="62">
        <v>0</v>
      </c>
      <c r="T104" s="62">
        <v>0</v>
      </c>
      <c r="U104" s="62">
        <v>0</v>
      </c>
      <c r="V104" s="62">
        <v>0</v>
      </c>
      <c r="W104" s="62"/>
      <c r="X104" s="62">
        <v>0</v>
      </c>
      <c r="Y104" s="62">
        <v>0</v>
      </c>
      <c r="Z104" s="62">
        <v>0</v>
      </c>
      <c r="AA104" s="62">
        <v>0</v>
      </c>
      <c r="AB104" s="62">
        <v>0</v>
      </c>
      <c r="AC104" s="62">
        <v>0</v>
      </c>
      <c r="AD104" s="62">
        <v>0</v>
      </c>
      <c r="AE104" s="62">
        <v>0</v>
      </c>
      <c r="AF104" s="62">
        <v>0</v>
      </c>
      <c r="AG104" s="62">
        <v>0</v>
      </c>
      <c r="AH104" s="62">
        <v>0</v>
      </c>
      <c r="AI104" s="63">
        <v>1</v>
      </c>
    </row>
    <row r="105" spans="2:35">
      <c r="B105" s="61" t="s">
        <v>344</v>
      </c>
      <c r="C105" s="62">
        <v>0</v>
      </c>
      <c r="D105" s="62">
        <v>0</v>
      </c>
      <c r="E105" s="62">
        <v>0</v>
      </c>
      <c r="F105" s="61">
        <v>0</v>
      </c>
      <c r="G105" s="62">
        <v>0</v>
      </c>
      <c r="H105" s="62">
        <v>0</v>
      </c>
      <c r="I105" s="62">
        <v>0</v>
      </c>
      <c r="J105" s="62">
        <v>0</v>
      </c>
      <c r="K105" s="62">
        <v>0</v>
      </c>
      <c r="L105" s="62">
        <v>0</v>
      </c>
      <c r="M105" s="62">
        <v>0</v>
      </c>
      <c r="N105" s="62">
        <v>0</v>
      </c>
      <c r="O105" s="62">
        <v>0</v>
      </c>
      <c r="P105" s="62">
        <v>0</v>
      </c>
      <c r="Q105" s="62">
        <v>0</v>
      </c>
      <c r="R105" s="62">
        <v>0</v>
      </c>
      <c r="S105" s="62">
        <v>0</v>
      </c>
      <c r="T105" s="62">
        <v>0</v>
      </c>
      <c r="U105" s="62">
        <v>0</v>
      </c>
      <c r="V105" s="62">
        <v>0</v>
      </c>
      <c r="W105" s="62"/>
      <c r="X105" s="62">
        <v>0</v>
      </c>
      <c r="Y105" s="62">
        <v>0</v>
      </c>
      <c r="Z105" s="62">
        <v>0</v>
      </c>
      <c r="AA105" s="62">
        <v>0</v>
      </c>
      <c r="AB105" s="62">
        <v>0</v>
      </c>
      <c r="AC105" s="62">
        <v>0</v>
      </c>
      <c r="AD105" s="62">
        <v>0</v>
      </c>
      <c r="AE105" s="62">
        <v>0</v>
      </c>
      <c r="AF105" s="62">
        <v>0</v>
      </c>
      <c r="AG105" s="62">
        <v>0</v>
      </c>
      <c r="AH105" s="62">
        <v>0</v>
      </c>
      <c r="AI105" s="63">
        <v>1</v>
      </c>
    </row>
    <row r="106" spans="2:35">
      <c r="B106" s="61" t="s">
        <v>345</v>
      </c>
      <c r="C106" s="62">
        <v>0</v>
      </c>
      <c r="D106" s="62">
        <v>0</v>
      </c>
      <c r="E106" s="62">
        <v>0</v>
      </c>
      <c r="F106" s="61">
        <v>0</v>
      </c>
      <c r="G106" s="62">
        <v>0</v>
      </c>
      <c r="H106" s="62">
        <v>0</v>
      </c>
      <c r="I106" s="62">
        <v>0</v>
      </c>
      <c r="J106" s="62">
        <v>0</v>
      </c>
      <c r="K106" s="62">
        <v>0</v>
      </c>
      <c r="L106" s="62">
        <v>0</v>
      </c>
      <c r="M106" s="62">
        <v>0</v>
      </c>
      <c r="N106" s="62">
        <v>0</v>
      </c>
      <c r="O106" s="62">
        <v>0</v>
      </c>
      <c r="P106" s="62">
        <v>0</v>
      </c>
      <c r="Q106" s="62">
        <v>0</v>
      </c>
      <c r="R106" s="62">
        <v>0</v>
      </c>
      <c r="S106" s="62">
        <v>0</v>
      </c>
      <c r="T106" s="62">
        <v>0</v>
      </c>
      <c r="U106" s="62">
        <v>0</v>
      </c>
      <c r="V106" s="62">
        <v>0</v>
      </c>
      <c r="W106" s="62"/>
      <c r="X106" s="62">
        <v>0</v>
      </c>
      <c r="Y106" s="62">
        <v>0</v>
      </c>
      <c r="Z106" s="62">
        <v>0</v>
      </c>
      <c r="AA106" s="62">
        <v>0</v>
      </c>
      <c r="AB106" s="62">
        <v>0</v>
      </c>
      <c r="AC106" s="62">
        <v>0</v>
      </c>
      <c r="AD106" s="62">
        <v>0</v>
      </c>
      <c r="AE106" s="62">
        <v>0</v>
      </c>
      <c r="AF106" s="62">
        <v>0</v>
      </c>
      <c r="AG106" s="62">
        <v>0</v>
      </c>
      <c r="AH106" s="62">
        <v>0</v>
      </c>
      <c r="AI106" s="63">
        <v>1</v>
      </c>
    </row>
    <row r="107" spans="2:35">
      <c r="B107" s="61" t="s">
        <v>346</v>
      </c>
      <c r="C107" s="62">
        <v>53</v>
      </c>
      <c r="D107" s="62">
        <v>0</v>
      </c>
      <c r="E107" s="62">
        <v>932</v>
      </c>
      <c r="F107" s="61">
        <v>959</v>
      </c>
      <c r="G107" s="62">
        <v>7937113</v>
      </c>
      <c r="H107" s="62">
        <v>7974523</v>
      </c>
      <c r="I107" s="62">
        <v>706790</v>
      </c>
      <c r="J107" s="62">
        <v>391196</v>
      </c>
      <c r="K107" s="62">
        <v>-375441</v>
      </c>
      <c r="L107" s="62">
        <v>8586110</v>
      </c>
      <c r="M107" s="62">
        <v>7322624</v>
      </c>
      <c r="N107" s="62">
        <v>6942642</v>
      </c>
      <c r="O107" s="62">
        <v>9128645</v>
      </c>
      <c r="P107" s="62">
        <v>500795</v>
      </c>
      <c r="Q107" s="62">
        <v>242095</v>
      </c>
      <c r="R107" s="62">
        <v>0</v>
      </c>
      <c r="S107" s="62">
        <v>0</v>
      </c>
      <c r="T107" s="62">
        <v>-411541</v>
      </c>
      <c r="U107" s="62">
        <v>-368759</v>
      </c>
      <c r="V107" s="62">
        <v>0</v>
      </c>
      <c r="W107" s="62"/>
      <c r="X107" s="62">
        <v>-36100</v>
      </c>
      <c r="Y107" s="62">
        <v>0</v>
      </c>
      <c r="Z107" s="62">
        <v>375441</v>
      </c>
      <c r="AA107" s="62">
        <v>0</v>
      </c>
      <c r="AB107" s="62">
        <v>0</v>
      </c>
      <c r="AC107" s="62">
        <v>-36100</v>
      </c>
      <c r="AD107" s="62">
        <v>-36100</v>
      </c>
      <c r="AE107" s="62">
        <v>-36100</v>
      </c>
      <c r="AF107" s="62">
        <v>-36100</v>
      </c>
      <c r="AG107" s="62">
        <v>-36100</v>
      </c>
      <c r="AH107" s="62">
        <v>-194941</v>
      </c>
      <c r="AI107" s="63">
        <v>11.4</v>
      </c>
    </row>
    <row r="108" spans="2:35">
      <c r="B108" s="61" t="s">
        <v>347</v>
      </c>
      <c r="C108" s="62">
        <v>10</v>
      </c>
      <c r="D108" s="62">
        <v>0</v>
      </c>
      <c r="E108" s="62">
        <v>83</v>
      </c>
      <c r="F108" s="61">
        <v>88</v>
      </c>
      <c r="G108" s="62">
        <v>1196488</v>
      </c>
      <c r="H108" s="62">
        <v>1222721</v>
      </c>
      <c r="I108" s="62">
        <v>91348</v>
      </c>
      <c r="J108" s="62">
        <v>76780</v>
      </c>
      <c r="K108" s="62">
        <v>-45398</v>
      </c>
      <c r="L108" s="62">
        <v>1276283</v>
      </c>
      <c r="M108" s="62">
        <v>1119879</v>
      </c>
      <c r="N108" s="62">
        <v>1073415</v>
      </c>
      <c r="O108" s="62">
        <v>1341332</v>
      </c>
      <c r="P108" s="62">
        <v>60279</v>
      </c>
      <c r="Q108" s="62">
        <v>36410</v>
      </c>
      <c r="R108" s="62">
        <v>0</v>
      </c>
      <c r="S108" s="62">
        <v>0</v>
      </c>
      <c r="T108" s="62">
        <v>-50739</v>
      </c>
      <c r="U108" s="62">
        <v>-72183</v>
      </c>
      <c r="V108" s="62">
        <v>0</v>
      </c>
      <c r="W108" s="62"/>
      <c r="X108" s="62">
        <v>-5341</v>
      </c>
      <c r="Y108" s="62">
        <v>0</v>
      </c>
      <c r="Z108" s="62">
        <v>45398</v>
      </c>
      <c r="AA108" s="62">
        <v>0</v>
      </c>
      <c r="AB108" s="62">
        <v>0</v>
      </c>
      <c r="AC108" s="62">
        <v>-5341</v>
      </c>
      <c r="AD108" s="62">
        <v>-5341</v>
      </c>
      <c r="AE108" s="62">
        <v>-5341</v>
      </c>
      <c r="AF108" s="62">
        <v>-5341</v>
      </c>
      <c r="AG108" s="62">
        <v>-5341</v>
      </c>
      <c r="AH108" s="62">
        <v>-18693</v>
      </c>
      <c r="AI108" s="63">
        <v>9.5</v>
      </c>
    </row>
    <row r="109" spans="2:35">
      <c r="B109" s="61" t="s">
        <v>348</v>
      </c>
      <c r="C109" s="62">
        <v>43</v>
      </c>
      <c r="D109" s="62">
        <v>0</v>
      </c>
      <c r="E109" s="62">
        <v>535</v>
      </c>
      <c r="F109" s="61">
        <v>555</v>
      </c>
      <c r="G109" s="62">
        <v>10674873</v>
      </c>
      <c r="H109" s="62">
        <v>10643068</v>
      </c>
      <c r="I109" s="62">
        <v>895680</v>
      </c>
      <c r="J109" s="62">
        <v>485212</v>
      </c>
      <c r="K109" s="62">
        <v>-439641</v>
      </c>
      <c r="L109" s="62">
        <v>11446767</v>
      </c>
      <c r="M109" s="62">
        <v>9938666</v>
      </c>
      <c r="N109" s="62">
        <v>9490312</v>
      </c>
      <c r="O109" s="62">
        <v>12063210</v>
      </c>
      <c r="P109" s="62">
        <v>623425</v>
      </c>
      <c r="Q109" s="62">
        <v>322788</v>
      </c>
      <c r="R109" s="62">
        <v>0</v>
      </c>
      <c r="S109" s="62">
        <v>0</v>
      </c>
      <c r="T109" s="62">
        <v>-490174</v>
      </c>
      <c r="U109" s="62">
        <v>-424234</v>
      </c>
      <c r="V109" s="62">
        <v>0</v>
      </c>
      <c r="W109" s="62"/>
      <c r="X109" s="62">
        <v>-50533</v>
      </c>
      <c r="Y109" s="62">
        <v>0</v>
      </c>
      <c r="Z109" s="62">
        <v>439641</v>
      </c>
      <c r="AA109" s="62">
        <v>0</v>
      </c>
      <c r="AB109" s="62">
        <v>0</v>
      </c>
      <c r="AC109" s="62">
        <v>-50533</v>
      </c>
      <c r="AD109" s="62">
        <v>-50533</v>
      </c>
      <c r="AE109" s="62">
        <v>-50533</v>
      </c>
      <c r="AF109" s="62">
        <v>-50533</v>
      </c>
      <c r="AG109" s="62">
        <v>-50533</v>
      </c>
      <c r="AH109" s="62">
        <v>-186976</v>
      </c>
      <c r="AI109" s="63">
        <v>9.6999999999999993</v>
      </c>
    </row>
    <row r="110" spans="2:35">
      <c r="B110" s="61" t="s">
        <v>349</v>
      </c>
      <c r="C110" s="62">
        <v>27</v>
      </c>
      <c r="D110" s="62">
        <v>0</v>
      </c>
      <c r="E110" s="62">
        <v>446</v>
      </c>
      <c r="F110" s="61">
        <v>505</v>
      </c>
      <c r="G110" s="62">
        <v>4113084</v>
      </c>
      <c r="H110" s="62">
        <v>4203252</v>
      </c>
      <c r="I110" s="62">
        <v>346399</v>
      </c>
      <c r="J110" s="62">
        <v>281698</v>
      </c>
      <c r="K110" s="62">
        <v>-169934</v>
      </c>
      <c r="L110" s="62">
        <v>4409848</v>
      </c>
      <c r="M110" s="62">
        <v>3830037</v>
      </c>
      <c r="N110" s="62">
        <v>3645177</v>
      </c>
      <c r="O110" s="62">
        <v>4672595</v>
      </c>
      <c r="P110" s="62">
        <v>239048</v>
      </c>
      <c r="Q110" s="62">
        <v>125822</v>
      </c>
      <c r="R110" s="62">
        <v>0</v>
      </c>
      <c r="S110" s="62">
        <v>0</v>
      </c>
      <c r="T110" s="62">
        <v>-188405</v>
      </c>
      <c r="U110" s="62">
        <v>-266633</v>
      </c>
      <c r="V110" s="62">
        <v>0</v>
      </c>
      <c r="W110" s="62"/>
      <c r="X110" s="62">
        <v>-18471</v>
      </c>
      <c r="Y110" s="62">
        <v>0</v>
      </c>
      <c r="Z110" s="62">
        <v>169934</v>
      </c>
      <c r="AA110" s="62">
        <v>0</v>
      </c>
      <c r="AB110" s="62">
        <v>0</v>
      </c>
      <c r="AC110" s="62">
        <v>-18471</v>
      </c>
      <c r="AD110" s="62">
        <v>-18471</v>
      </c>
      <c r="AE110" s="62">
        <v>-18471</v>
      </c>
      <c r="AF110" s="62">
        <v>-18471</v>
      </c>
      <c r="AG110" s="62">
        <v>-18471</v>
      </c>
      <c r="AH110" s="62">
        <v>-77579</v>
      </c>
      <c r="AI110" s="63">
        <v>10.199999999999999</v>
      </c>
    </row>
    <row r="111" spans="2:35">
      <c r="B111" s="61" t="s">
        <v>350</v>
      </c>
      <c r="C111" s="62">
        <v>7</v>
      </c>
      <c r="D111" s="62">
        <v>0</v>
      </c>
      <c r="E111" s="62">
        <v>157</v>
      </c>
      <c r="F111" s="61">
        <v>180</v>
      </c>
      <c r="G111" s="62">
        <v>1630798</v>
      </c>
      <c r="H111" s="62">
        <v>1631835</v>
      </c>
      <c r="I111" s="62">
        <v>122523</v>
      </c>
      <c r="J111" s="62">
        <v>63423</v>
      </c>
      <c r="K111" s="62">
        <v>-67081</v>
      </c>
      <c r="L111" s="62">
        <v>1748540</v>
      </c>
      <c r="M111" s="62">
        <v>1518257</v>
      </c>
      <c r="N111" s="62">
        <v>1452769</v>
      </c>
      <c r="O111" s="62">
        <v>1840128</v>
      </c>
      <c r="P111" s="62">
        <v>81218</v>
      </c>
      <c r="Q111" s="62">
        <v>49197</v>
      </c>
      <c r="R111" s="62">
        <v>0</v>
      </c>
      <c r="S111" s="62">
        <v>0</v>
      </c>
      <c r="T111" s="62">
        <v>-74973</v>
      </c>
      <c r="U111" s="62">
        <v>-56479</v>
      </c>
      <c r="V111" s="62">
        <v>0</v>
      </c>
      <c r="W111" s="62"/>
      <c r="X111" s="62">
        <v>-7892</v>
      </c>
      <c r="Y111" s="62">
        <v>0</v>
      </c>
      <c r="Z111" s="62">
        <v>67081</v>
      </c>
      <c r="AA111" s="62">
        <v>0</v>
      </c>
      <c r="AB111" s="62">
        <v>0</v>
      </c>
      <c r="AC111" s="62">
        <v>-7892</v>
      </c>
      <c r="AD111" s="62">
        <v>-7892</v>
      </c>
      <c r="AE111" s="62">
        <v>-7892</v>
      </c>
      <c r="AF111" s="62">
        <v>-7892</v>
      </c>
      <c r="AG111" s="62">
        <v>-7892</v>
      </c>
      <c r="AH111" s="62">
        <v>-27621</v>
      </c>
      <c r="AI111" s="63">
        <v>9.5</v>
      </c>
    </row>
    <row r="112" spans="2:35">
      <c r="B112" s="61" t="s">
        <v>351</v>
      </c>
      <c r="C112" s="62">
        <v>25</v>
      </c>
      <c r="D112" s="62">
        <v>0</v>
      </c>
      <c r="E112" s="62">
        <v>342</v>
      </c>
      <c r="F112" s="61">
        <v>366</v>
      </c>
      <c r="G112" s="62">
        <v>6000633</v>
      </c>
      <c r="H112" s="62">
        <v>6024823</v>
      </c>
      <c r="I112" s="62">
        <v>491775</v>
      </c>
      <c r="J112" s="62">
        <v>274645</v>
      </c>
      <c r="K112" s="62">
        <v>-261697</v>
      </c>
      <c r="L112" s="62">
        <v>6457119</v>
      </c>
      <c r="M112" s="62">
        <v>5565202</v>
      </c>
      <c r="N112" s="62">
        <v>5289805</v>
      </c>
      <c r="O112" s="62">
        <v>6846704</v>
      </c>
      <c r="P112" s="62">
        <v>337837</v>
      </c>
      <c r="Q112" s="62">
        <v>182077</v>
      </c>
      <c r="R112" s="62">
        <v>0</v>
      </c>
      <c r="S112" s="62">
        <v>0</v>
      </c>
      <c r="T112" s="62">
        <v>-289836</v>
      </c>
      <c r="U112" s="62">
        <v>-254268</v>
      </c>
      <c r="V112" s="62">
        <v>0</v>
      </c>
      <c r="W112" s="62"/>
      <c r="X112" s="62">
        <v>-28139</v>
      </c>
      <c r="Y112" s="62">
        <v>0</v>
      </c>
      <c r="Z112" s="62">
        <v>261697</v>
      </c>
      <c r="AA112" s="62">
        <v>0</v>
      </c>
      <c r="AB112" s="62">
        <v>0</v>
      </c>
      <c r="AC112" s="62">
        <v>-28139</v>
      </c>
      <c r="AD112" s="62">
        <v>-28139</v>
      </c>
      <c r="AE112" s="62">
        <v>-28139</v>
      </c>
      <c r="AF112" s="62">
        <v>-28139</v>
      </c>
      <c r="AG112" s="62">
        <v>-28139</v>
      </c>
      <c r="AH112" s="62">
        <v>-121002</v>
      </c>
      <c r="AI112" s="63">
        <v>10.3</v>
      </c>
    </row>
    <row r="113" spans="2:35">
      <c r="B113" s="61" t="s">
        <v>352</v>
      </c>
      <c r="C113" s="62">
        <v>12</v>
      </c>
      <c r="D113" s="62">
        <v>0</v>
      </c>
      <c r="E113" s="62">
        <v>170</v>
      </c>
      <c r="F113" s="61">
        <v>174</v>
      </c>
      <c r="G113" s="62">
        <v>1659787</v>
      </c>
      <c r="H113" s="62">
        <v>1677928</v>
      </c>
      <c r="I113" s="62">
        <v>148820</v>
      </c>
      <c r="J113" s="62">
        <v>88309</v>
      </c>
      <c r="K113" s="62">
        <v>-75776</v>
      </c>
      <c r="L113" s="62">
        <v>1792035</v>
      </c>
      <c r="M113" s="62">
        <v>1534501</v>
      </c>
      <c r="N113" s="62">
        <v>1455785</v>
      </c>
      <c r="O113" s="62">
        <v>1904467</v>
      </c>
      <c r="P113" s="62">
        <v>106118</v>
      </c>
      <c r="Q113" s="62">
        <v>50763</v>
      </c>
      <c r="R113" s="62">
        <v>0</v>
      </c>
      <c r="S113" s="62">
        <v>0</v>
      </c>
      <c r="T113" s="62">
        <v>-83837</v>
      </c>
      <c r="U113" s="62">
        <v>-91185</v>
      </c>
      <c r="V113" s="62">
        <v>0</v>
      </c>
      <c r="W113" s="62"/>
      <c r="X113" s="62">
        <v>-8061</v>
      </c>
      <c r="Y113" s="62">
        <v>0</v>
      </c>
      <c r="Z113" s="62">
        <v>75776</v>
      </c>
      <c r="AA113" s="62">
        <v>0</v>
      </c>
      <c r="AB113" s="62">
        <v>0</v>
      </c>
      <c r="AC113" s="62">
        <v>-8061</v>
      </c>
      <c r="AD113" s="62">
        <v>-8061</v>
      </c>
      <c r="AE113" s="62">
        <v>-8061</v>
      </c>
      <c r="AF113" s="62">
        <v>-8061</v>
      </c>
      <c r="AG113" s="62">
        <v>-8061</v>
      </c>
      <c r="AH113" s="62">
        <v>-35471</v>
      </c>
      <c r="AI113" s="63">
        <v>10.4</v>
      </c>
    </row>
    <row r="114" spans="2:35">
      <c r="B114" s="61" t="s">
        <v>353</v>
      </c>
      <c r="C114" s="62">
        <v>8</v>
      </c>
      <c r="D114" s="62">
        <v>0</v>
      </c>
      <c r="E114" s="62">
        <v>163</v>
      </c>
      <c r="F114" s="61">
        <v>178</v>
      </c>
      <c r="G114" s="62">
        <v>1348675</v>
      </c>
      <c r="H114" s="62">
        <v>1353917</v>
      </c>
      <c r="I114" s="62">
        <v>113757</v>
      </c>
      <c r="J114" s="62">
        <v>64507</v>
      </c>
      <c r="K114" s="62">
        <v>-55052</v>
      </c>
      <c r="L114" s="62">
        <v>1445520</v>
      </c>
      <c r="M114" s="62">
        <v>1255600</v>
      </c>
      <c r="N114" s="62">
        <v>1193960</v>
      </c>
      <c r="O114" s="62">
        <v>1532231</v>
      </c>
      <c r="P114" s="62">
        <v>79172</v>
      </c>
      <c r="Q114" s="62">
        <v>40913</v>
      </c>
      <c r="R114" s="62">
        <v>0</v>
      </c>
      <c r="S114" s="62">
        <v>0</v>
      </c>
      <c r="T114" s="62">
        <v>-61380</v>
      </c>
      <c r="U114" s="62">
        <v>-63947</v>
      </c>
      <c r="V114" s="62">
        <v>0</v>
      </c>
      <c r="W114" s="62"/>
      <c r="X114" s="62">
        <v>-6328</v>
      </c>
      <c r="Y114" s="62">
        <v>0</v>
      </c>
      <c r="Z114" s="62">
        <v>55052</v>
      </c>
      <c r="AA114" s="62">
        <v>0</v>
      </c>
      <c r="AB114" s="62">
        <v>0</v>
      </c>
      <c r="AC114" s="62">
        <v>-6328</v>
      </c>
      <c r="AD114" s="62">
        <v>-6328</v>
      </c>
      <c r="AE114" s="62">
        <v>-6328</v>
      </c>
      <c r="AF114" s="62">
        <v>-6328</v>
      </c>
      <c r="AG114" s="62">
        <v>-6328</v>
      </c>
      <c r="AH114" s="62">
        <v>-23412</v>
      </c>
      <c r="AI114" s="63">
        <v>9.6999999999999993</v>
      </c>
    </row>
    <row r="115" spans="2:35">
      <c r="B115" s="61" t="s">
        <v>354</v>
      </c>
      <c r="C115" s="62">
        <v>6</v>
      </c>
      <c r="D115" s="62">
        <v>0</v>
      </c>
      <c r="E115" s="62">
        <v>81</v>
      </c>
      <c r="F115" s="61">
        <v>89</v>
      </c>
      <c r="G115" s="62">
        <v>1167968</v>
      </c>
      <c r="H115" s="62">
        <v>1191092</v>
      </c>
      <c r="I115" s="62">
        <v>80269</v>
      </c>
      <c r="J115" s="62">
        <v>70811</v>
      </c>
      <c r="K115" s="62">
        <v>-40172</v>
      </c>
      <c r="L115" s="62">
        <v>1238785</v>
      </c>
      <c r="M115" s="62">
        <v>1099027</v>
      </c>
      <c r="N115" s="62">
        <v>1058010</v>
      </c>
      <c r="O115" s="62">
        <v>1295212</v>
      </c>
      <c r="P115" s="62">
        <v>50036</v>
      </c>
      <c r="Q115" s="62">
        <v>35318</v>
      </c>
      <c r="R115" s="62">
        <v>0</v>
      </c>
      <c r="S115" s="62">
        <v>0</v>
      </c>
      <c r="T115" s="62">
        <v>-45257</v>
      </c>
      <c r="U115" s="62">
        <v>-63221</v>
      </c>
      <c r="V115" s="62">
        <v>0</v>
      </c>
      <c r="W115" s="62"/>
      <c r="X115" s="62">
        <v>-5085</v>
      </c>
      <c r="Y115" s="62">
        <v>0</v>
      </c>
      <c r="Z115" s="62">
        <v>40172</v>
      </c>
      <c r="AA115" s="62">
        <v>0</v>
      </c>
      <c r="AB115" s="62">
        <v>0</v>
      </c>
      <c r="AC115" s="62">
        <v>-5085</v>
      </c>
      <c r="AD115" s="62">
        <v>-5085</v>
      </c>
      <c r="AE115" s="62">
        <v>-5085</v>
      </c>
      <c r="AF115" s="62">
        <v>-5085</v>
      </c>
      <c r="AG115" s="62">
        <v>-5085</v>
      </c>
      <c r="AH115" s="62">
        <v>-14747</v>
      </c>
      <c r="AI115" s="63">
        <v>8.9</v>
      </c>
    </row>
    <row r="116" spans="2:35">
      <c r="B116" s="61" t="s">
        <v>355</v>
      </c>
      <c r="C116" s="62">
        <v>18</v>
      </c>
      <c r="D116" s="62">
        <v>0</v>
      </c>
      <c r="E116" s="62">
        <v>262</v>
      </c>
      <c r="F116" s="61">
        <v>276</v>
      </c>
      <c r="G116" s="62">
        <v>4471820</v>
      </c>
      <c r="H116" s="62">
        <v>4500018</v>
      </c>
      <c r="I116" s="62">
        <v>379241</v>
      </c>
      <c r="J116" s="62">
        <v>219134</v>
      </c>
      <c r="K116" s="62">
        <v>-197869</v>
      </c>
      <c r="L116" s="62">
        <v>4816021</v>
      </c>
      <c r="M116" s="62">
        <v>4144918</v>
      </c>
      <c r="N116" s="62">
        <v>3940902</v>
      </c>
      <c r="O116" s="62">
        <v>5104932</v>
      </c>
      <c r="P116" s="62">
        <v>263808</v>
      </c>
      <c r="Q116" s="62">
        <v>136044</v>
      </c>
      <c r="R116" s="62">
        <v>0</v>
      </c>
      <c r="S116" s="62">
        <v>0</v>
      </c>
      <c r="T116" s="62">
        <v>-218480</v>
      </c>
      <c r="U116" s="62">
        <v>-209570</v>
      </c>
      <c r="V116" s="62">
        <v>0</v>
      </c>
      <c r="W116" s="62"/>
      <c r="X116" s="62">
        <v>-20611</v>
      </c>
      <c r="Y116" s="62">
        <v>0</v>
      </c>
      <c r="Z116" s="62">
        <v>197869</v>
      </c>
      <c r="AA116" s="62">
        <v>0</v>
      </c>
      <c r="AB116" s="62">
        <v>0</v>
      </c>
      <c r="AC116" s="62">
        <v>-20611</v>
      </c>
      <c r="AD116" s="62">
        <v>-20611</v>
      </c>
      <c r="AE116" s="62">
        <v>-20611</v>
      </c>
      <c r="AF116" s="62">
        <v>-20611</v>
      </c>
      <c r="AG116" s="62">
        <v>-20611</v>
      </c>
      <c r="AH116" s="62">
        <v>-94814</v>
      </c>
      <c r="AI116" s="63">
        <v>10.6</v>
      </c>
    </row>
    <row r="117" spans="2:35">
      <c r="B117" s="61" t="s">
        <v>356</v>
      </c>
      <c r="C117" s="62">
        <v>0</v>
      </c>
      <c r="D117" s="62">
        <v>0</v>
      </c>
      <c r="E117" s="62">
        <v>0</v>
      </c>
      <c r="F117" s="61">
        <v>0</v>
      </c>
      <c r="G117" s="62">
        <v>0</v>
      </c>
      <c r="H117" s="62">
        <v>0</v>
      </c>
      <c r="I117" s="62">
        <v>0</v>
      </c>
      <c r="J117" s="62">
        <v>0</v>
      </c>
      <c r="K117" s="62">
        <v>0</v>
      </c>
      <c r="L117" s="62">
        <v>0</v>
      </c>
      <c r="M117" s="62">
        <v>0</v>
      </c>
      <c r="N117" s="62">
        <v>0</v>
      </c>
      <c r="O117" s="62">
        <v>0</v>
      </c>
      <c r="P117" s="62">
        <v>0</v>
      </c>
      <c r="Q117" s="62">
        <v>0</v>
      </c>
      <c r="R117" s="62">
        <v>0</v>
      </c>
      <c r="S117" s="62">
        <v>0</v>
      </c>
      <c r="T117" s="62">
        <v>0</v>
      </c>
      <c r="U117" s="62">
        <v>0</v>
      </c>
      <c r="V117" s="62">
        <v>0</v>
      </c>
      <c r="W117" s="62"/>
      <c r="X117" s="62">
        <v>0</v>
      </c>
      <c r="Y117" s="62">
        <v>0</v>
      </c>
      <c r="Z117" s="62">
        <v>0</v>
      </c>
      <c r="AA117" s="62">
        <v>0</v>
      </c>
      <c r="AB117" s="62">
        <v>0</v>
      </c>
      <c r="AC117" s="62">
        <v>0</v>
      </c>
      <c r="AD117" s="62">
        <v>0</v>
      </c>
      <c r="AE117" s="62">
        <v>0</v>
      </c>
      <c r="AF117" s="62">
        <v>0</v>
      </c>
      <c r="AG117" s="62">
        <v>0</v>
      </c>
      <c r="AH117" s="62">
        <v>0</v>
      </c>
      <c r="AI117" s="63">
        <v>1</v>
      </c>
    </row>
    <row r="118" spans="2:35">
      <c r="B118" s="61" t="s">
        <v>357</v>
      </c>
      <c r="C118" s="62">
        <v>85</v>
      </c>
      <c r="D118" s="62">
        <v>0</v>
      </c>
      <c r="E118" s="62">
        <v>1118</v>
      </c>
      <c r="F118" s="61">
        <v>1160</v>
      </c>
      <c r="G118" s="62">
        <v>12425634</v>
      </c>
      <c r="H118" s="62">
        <v>12691498</v>
      </c>
      <c r="I118" s="62">
        <v>1030071</v>
      </c>
      <c r="J118" s="62">
        <v>782536</v>
      </c>
      <c r="K118" s="62">
        <v>-542248</v>
      </c>
      <c r="L118" s="62">
        <v>13373281</v>
      </c>
      <c r="M118" s="62">
        <v>11529600</v>
      </c>
      <c r="N118" s="62">
        <v>10991178</v>
      </c>
      <c r="O118" s="62">
        <v>14137415</v>
      </c>
      <c r="P118" s="62">
        <v>708728</v>
      </c>
      <c r="Q118" s="62">
        <v>380283</v>
      </c>
      <c r="R118" s="62">
        <v>0</v>
      </c>
      <c r="S118" s="62">
        <v>0</v>
      </c>
      <c r="T118" s="62">
        <v>-601188</v>
      </c>
      <c r="U118" s="62">
        <v>-753687</v>
      </c>
      <c r="V118" s="62">
        <v>0</v>
      </c>
      <c r="W118" s="62"/>
      <c r="X118" s="62">
        <v>-58940</v>
      </c>
      <c r="Y118" s="62">
        <v>0</v>
      </c>
      <c r="Z118" s="62">
        <v>542248</v>
      </c>
      <c r="AA118" s="62">
        <v>0</v>
      </c>
      <c r="AB118" s="62">
        <v>0</v>
      </c>
      <c r="AC118" s="62">
        <v>-58940</v>
      </c>
      <c r="AD118" s="62">
        <v>-58940</v>
      </c>
      <c r="AE118" s="62">
        <v>-58940</v>
      </c>
      <c r="AF118" s="62">
        <v>-58940</v>
      </c>
      <c r="AG118" s="62">
        <v>-58940</v>
      </c>
      <c r="AH118" s="62">
        <v>-247548</v>
      </c>
      <c r="AI118" s="63">
        <v>10.199999999999999</v>
      </c>
    </row>
    <row r="119" spans="2:35">
      <c r="B119" s="61" t="s">
        <v>358</v>
      </c>
      <c r="C119" s="62">
        <v>15</v>
      </c>
      <c r="D119" s="62">
        <v>0</v>
      </c>
      <c r="E119" s="62">
        <v>442</v>
      </c>
      <c r="F119" s="61">
        <v>492</v>
      </c>
      <c r="G119" s="62">
        <v>3930747</v>
      </c>
      <c r="H119" s="62">
        <v>3860746</v>
      </c>
      <c r="I119" s="62">
        <v>373937</v>
      </c>
      <c r="J119" s="62">
        <v>151392</v>
      </c>
      <c r="K119" s="62">
        <v>-177244</v>
      </c>
      <c r="L119" s="62">
        <v>4240301</v>
      </c>
      <c r="M119" s="62">
        <v>3636020</v>
      </c>
      <c r="N119" s="62">
        <v>3438237</v>
      </c>
      <c r="O119" s="62">
        <v>4517814</v>
      </c>
      <c r="P119" s="62">
        <v>274107</v>
      </c>
      <c r="Q119" s="62">
        <v>118888</v>
      </c>
      <c r="R119" s="62">
        <v>0</v>
      </c>
      <c r="S119" s="62">
        <v>0</v>
      </c>
      <c r="T119" s="62">
        <v>-196302</v>
      </c>
      <c r="U119" s="62">
        <v>-126692</v>
      </c>
      <c r="V119" s="62">
        <v>0</v>
      </c>
      <c r="W119" s="62"/>
      <c r="X119" s="62">
        <v>-19058</v>
      </c>
      <c r="Y119" s="62">
        <v>0</v>
      </c>
      <c r="Z119" s="62">
        <v>177244</v>
      </c>
      <c r="AA119" s="62">
        <v>0</v>
      </c>
      <c r="AB119" s="62">
        <v>0</v>
      </c>
      <c r="AC119" s="62">
        <v>-19058</v>
      </c>
      <c r="AD119" s="62">
        <v>-19058</v>
      </c>
      <c r="AE119" s="62">
        <v>-19058</v>
      </c>
      <c r="AF119" s="62">
        <v>-19058</v>
      </c>
      <c r="AG119" s="62">
        <v>-19058</v>
      </c>
      <c r="AH119" s="62">
        <v>-81954</v>
      </c>
      <c r="AI119" s="63">
        <v>10.3</v>
      </c>
    </row>
    <row r="120" spans="2:35">
      <c r="B120" s="61" t="s">
        <v>359</v>
      </c>
      <c r="C120" s="62">
        <v>0</v>
      </c>
      <c r="D120" s="62">
        <v>0</v>
      </c>
      <c r="E120" s="62">
        <v>28</v>
      </c>
      <c r="F120" s="61">
        <v>31</v>
      </c>
      <c r="G120" s="62">
        <v>90135</v>
      </c>
      <c r="H120" s="62">
        <v>82991</v>
      </c>
      <c r="I120" s="62">
        <v>10367</v>
      </c>
      <c r="J120" s="62">
        <v>1662</v>
      </c>
      <c r="K120" s="62">
        <v>-3223</v>
      </c>
      <c r="L120" s="62">
        <v>95758</v>
      </c>
      <c r="M120" s="62">
        <v>84791</v>
      </c>
      <c r="N120" s="62">
        <v>80311</v>
      </c>
      <c r="O120" s="62">
        <v>101940</v>
      </c>
      <c r="P120" s="62">
        <v>8100</v>
      </c>
      <c r="Q120" s="62">
        <v>2660</v>
      </c>
      <c r="R120" s="62">
        <v>0</v>
      </c>
      <c r="S120" s="62">
        <v>0</v>
      </c>
      <c r="T120" s="62">
        <v>-3616</v>
      </c>
      <c r="U120" s="62">
        <v>0</v>
      </c>
      <c r="V120" s="62">
        <v>0</v>
      </c>
      <c r="W120" s="62"/>
      <c r="X120" s="62">
        <v>-393</v>
      </c>
      <c r="Y120" s="62">
        <v>0</v>
      </c>
      <c r="Z120" s="62">
        <v>3223</v>
      </c>
      <c r="AA120" s="62">
        <v>0</v>
      </c>
      <c r="AB120" s="62">
        <v>0</v>
      </c>
      <c r="AC120" s="62">
        <v>-393</v>
      </c>
      <c r="AD120" s="62">
        <v>-393</v>
      </c>
      <c r="AE120" s="62">
        <v>-393</v>
      </c>
      <c r="AF120" s="62">
        <v>-393</v>
      </c>
      <c r="AG120" s="62">
        <v>-393</v>
      </c>
      <c r="AH120" s="62">
        <v>-1258</v>
      </c>
      <c r="AI120" s="63">
        <v>9.1999999999999993</v>
      </c>
    </row>
    <row r="121" spans="2:35">
      <c r="B121" s="61" t="s">
        <v>360</v>
      </c>
      <c r="C121" s="62">
        <v>62</v>
      </c>
      <c r="D121" s="62">
        <v>0</v>
      </c>
      <c r="E121" s="62">
        <v>685</v>
      </c>
      <c r="F121" s="61">
        <v>718</v>
      </c>
      <c r="G121" s="62">
        <v>12648333</v>
      </c>
      <c r="H121" s="62">
        <v>12836706</v>
      </c>
      <c r="I121" s="62">
        <v>1005296</v>
      </c>
      <c r="J121" s="62">
        <v>745622</v>
      </c>
      <c r="K121" s="62">
        <v>-497844</v>
      </c>
      <c r="L121" s="62">
        <v>13518605</v>
      </c>
      <c r="M121" s="62">
        <v>11811431</v>
      </c>
      <c r="N121" s="62">
        <v>11285327</v>
      </c>
      <c r="O121" s="62">
        <v>14247690</v>
      </c>
      <c r="P121" s="62">
        <v>676798</v>
      </c>
      <c r="Q121" s="62">
        <v>384435</v>
      </c>
      <c r="R121" s="62">
        <v>0</v>
      </c>
      <c r="S121" s="62">
        <v>0</v>
      </c>
      <c r="T121" s="62">
        <v>-553781</v>
      </c>
      <c r="U121" s="62">
        <v>-695825</v>
      </c>
      <c r="V121" s="62">
        <v>0</v>
      </c>
      <c r="W121" s="62"/>
      <c r="X121" s="62">
        <v>-55937</v>
      </c>
      <c r="Y121" s="62">
        <v>0</v>
      </c>
      <c r="Z121" s="62">
        <v>497844</v>
      </c>
      <c r="AA121" s="62">
        <v>0</v>
      </c>
      <c r="AB121" s="62">
        <v>0</v>
      </c>
      <c r="AC121" s="62">
        <v>-55937</v>
      </c>
      <c r="AD121" s="62">
        <v>-55937</v>
      </c>
      <c r="AE121" s="62">
        <v>-55937</v>
      </c>
      <c r="AF121" s="62">
        <v>-55937</v>
      </c>
      <c r="AG121" s="62">
        <v>-55937</v>
      </c>
      <c r="AH121" s="62">
        <v>-218159</v>
      </c>
      <c r="AI121" s="63">
        <v>9.9</v>
      </c>
    </row>
    <row r="122" spans="2:35">
      <c r="B122" s="61" t="s">
        <v>361</v>
      </c>
      <c r="C122" s="62">
        <v>116</v>
      </c>
      <c r="D122" s="62">
        <v>0</v>
      </c>
      <c r="E122" s="62">
        <v>1081</v>
      </c>
      <c r="F122" s="61">
        <v>1114</v>
      </c>
      <c r="G122" s="62">
        <v>30442218</v>
      </c>
      <c r="H122" s="62">
        <v>30825345</v>
      </c>
      <c r="I122" s="62">
        <v>2514300</v>
      </c>
      <c r="J122" s="62">
        <v>1624909</v>
      </c>
      <c r="K122" s="62">
        <v>-1354597</v>
      </c>
      <c r="L122" s="62">
        <v>32803050</v>
      </c>
      <c r="M122" s="62">
        <v>28207256</v>
      </c>
      <c r="N122" s="62">
        <v>26850440</v>
      </c>
      <c r="O122" s="62">
        <v>34733772</v>
      </c>
      <c r="P122" s="62">
        <v>1728832</v>
      </c>
      <c r="Q122" s="62">
        <v>928057</v>
      </c>
      <c r="R122" s="62">
        <v>0</v>
      </c>
      <c r="S122" s="62">
        <v>0</v>
      </c>
      <c r="T122" s="62">
        <v>-1497186</v>
      </c>
      <c r="U122" s="62">
        <v>-1542830</v>
      </c>
      <c r="V122" s="62">
        <v>0</v>
      </c>
      <c r="W122" s="62"/>
      <c r="X122" s="62">
        <v>-142589</v>
      </c>
      <c r="Y122" s="62">
        <v>0</v>
      </c>
      <c r="Z122" s="62">
        <v>1354597</v>
      </c>
      <c r="AA122" s="62">
        <v>0</v>
      </c>
      <c r="AB122" s="62">
        <v>0</v>
      </c>
      <c r="AC122" s="62">
        <v>-142589</v>
      </c>
      <c r="AD122" s="62">
        <v>-142589</v>
      </c>
      <c r="AE122" s="62">
        <v>-142589</v>
      </c>
      <c r="AF122" s="62">
        <v>-142589</v>
      </c>
      <c r="AG122" s="62">
        <v>-142589</v>
      </c>
      <c r="AH122" s="62">
        <v>-641652</v>
      </c>
      <c r="AI122" s="63">
        <v>10.5</v>
      </c>
    </row>
    <row r="123" spans="2:35">
      <c r="B123" s="61" t="s">
        <v>362</v>
      </c>
      <c r="C123" s="62">
        <v>6</v>
      </c>
      <c r="D123" s="62">
        <v>0</v>
      </c>
      <c r="E123" s="62">
        <v>74</v>
      </c>
      <c r="F123" s="61">
        <v>75</v>
      </c>
      <c r="G123" s="62">
        <v>1047619</v>
      </c>
      <c r="H123" s="62">
        <v>1056511</v>
      </c>
      <c r="I123" s="62">
        <v>87564</v>
      </c>
      <c r="J123" s="62">
        <v>60460</v>
      </c>
      <c r="K123" s="62">
        <v>-40960</v>
      </c>
      <c r="L123" s="62">
        <v>1119030</v>
      </c>
      <c r="M123" s="62">
        <v>979306</v>
      </c>
      <c r="N123" s="62">
        <v>935570</v>
      </c>
      <c r="O123" s="62">
        <v>1180413</v>
      </c>
      <c r="P123" s="62">
        <v>60171</v>
      </c>
      <c r="Q123" s="62">
        <v>31797</v>
      </c>
      <c r="R123" s="62">
        <v>0</v>
      </c>
      <c r="S123" s="62">
        <v>0</v>
      </c>
      <c r="T123" s="62">
        <v>-45364</v>
      </c>
      <c r="U123" s="62">
        <v>-55496</v>
      </c>
      <c r="V123" s="62">
        <v>0</v>
      </c>
      <c r="W123" s="62"/>
      <c r="X123" s="62">
        <v>-4404</v>
      </c>
      <c r="Y123" s="62">
        <v>0</v>
      </c>
      <c r="Z123" s="62">
        <v>40960</v>
      </c>
      <c r="AA123" s="62">
        <v>0</v>
      </c>
      <c r="AB123" s="62">
        <v>0</v>
      </c>
      <c r="AC123" s="62">
        <v>-4404</v>
      </c>
      <c r="AD123" s="62">
        <v>-4404</v>
      </c>
      <c r="AE123" s="62">
        <v>-4404</v>
      </c>
      <c r="AF123" s="62">
        <v>-4404</v>
      </c>
      <c r="AG123" s="62">
        <v>-4404</v>
      </c>
      <c r="AH123" s="62">
        <v>-18940</v>
      </c>
      <c r="AI123" s="63">
        <v>10.3</v>
      </c>
    </row>
    <row r="124" spans="2:35">
      <c r="B124" s="61" t="s">
        <v>363</v>
      </c>
      <c r="C124" s="62">
        <v>2</v>
      </c>
      <c r="D124" s="62">
        <v>0</v>
      </c>
      <c r="E124" s="62">
        <v>36</v>
      </c>
      <c r="F124" s="61">
        <v>39</v>
      </c>
      <c r="G124" s="62">
        <v>296354</v>
      </c>
      <c r="H124" s="62">
        <v>298409</v>
      </c>
      <c r="I124" s="62">
        <v>27887</v>
      </c>
      <c r="J124" s="62">
        <v>26499</v>
      </c>
      <c r="K124" s="62">
        <v>-7423</v>
      </c>
      <c r="L124" s="62">
        <v>309189</v>
      </c>
      <c r="M124" s="62">
        <v>283289</v>
      </c>
      <c r="N124" s="62">
        <v>270865</v>
      </c>
      <c r="O124" s="62">
        <v>325992</v>
      </c>
      <c r="P124" s="62">
        <v>19778</v>
      </c>
      <c r="Q124" s="62">
        <v>8962</v>
      </c>
      <c r="R124" s="62">
        <v>0</v>
      </c>
      <c r="S124" s="62">
        <v>0</v>
      </c>
      <c r="T124" s="62">
        <v>-8276</v>
      </c>
      <c r="U124" s="62">
        <v>-22519</v>
      </c>
      <c r="V124" s="62">
        <v>0</v>
      </c>
      <c r="W124" s="62"/>
      <c r="X124" s="62">
        <v>-853</v>
      </c>
      <c r="Y124" s="62">
        <v>0</v>
      </c>
      <c r="Z124" s="62">
        <v>7423</v>
      </c>
      <c r="AA124" s="62">
        <v>0</v>
      </c>
      <c r="AB124" s="62">
        <v>0</v>
      </c>
      <c r="AC124" s="62">
        <v>-853</v>
      </c>
      <c r="AD124" s="62">
        <v>-853</v>
      </c>
      <c r="AE124" s="62">
        <v>-853</v>
      </c>
      <c r="AF124" s="62">
        <v>-853</v>
      </c>
      <c r="AG124" s="62">
        <v>-853</v>
      </c>
      <c r="AH124" s="62">
        <v>-3158</v>
      </c>
      <c r="AI124" s="63">
        <v>9.6999999999999993</v>
      </c>
    </row>
    <row r="125" spans="2:35">
      <c r="B125" s="61" t="s">
        <v>364</v>
      </c>
      <c r="C125" s="62">
        <v>14</v>
      </c>
      <c r="D125" s="62">
        <v>0</v>
      </c>
      <c r="E125" s="62">
        <v>362</v>
      </c>
      <c r="F125" s="61">
        <v>384</v>
      </c>
      <c r="G125" s="62">
        <v>6804023</v>
      </c>
      <c r="H125" s="62">
        <v>6660565</v>
      </c>
      <c r="I125" s="62">
        <v>626658</v>
      </c>
      <c r="J125" s="62">
        <v>222517</v>
      </c>
      <c r="K125" s="62">
        <v>-301373</v>
      </c>
      <c r="L125" s="62">
        <v>7328053</v>
      </c>
      <c r="M125" s="62">
        <v>6302918</v>
      </c>
      <c r="N125" s="62">
        <v>5957804</v>
      </c>
      <c r="O125" s="62">
        <v>7812339</v>
      </c>
      <c r="P125" s="62">
        <v>453311</v>
      </c>
      <c r="Q125" s="62">
        <v>205071</v>
      </c>
      <c r="R125" s="62">
        <v>0</v>
      </c>
      <c r="S125" s="62">
        <v>0</v>
      </c>
      <c r="T125" s="62">
        <v>-333097</v>
      </c>
      <c r="U125" s="62">
        <v>-181827</v>
      </c>
      <c r="V125" s="62">
        <v>0</v>
      </c>
      <c r="W125" s="62"/>
      <c r="X125" s="62">
        <v>-31724</v>
      </c>
      <c r="Y125" s="62">
        <v>0</v>
      </c>
      <c r="Z125" s="62">
        <v>301373</v>
      </c>
      <c r="AA125" s="62">
        <v>0</v>
      </c>
      <c r="AB125" s="62">
        <v>0</v>
      </c>
      <c r="AC125" s="62">
        <v>-31724</v>
      </c>
      <c r="AD125" s="62">
        <v>-31724</v>
      </c>
      <c r="AE125" s="62">
        <v>-31724</v>
      </c>
      <c r="AF125" s="62">
        <v>-31724</v>
      </c>
      <c r="AG125" s="62">
        <v>-31724</v>
      </c>
      <c r="AH125" s="62">
        <v>-142753</v>
      </c>
      <c r="AI125" s="63">
        <v>10.5</v>
      </c>
    </row>
    <row r="126" spans="2:35">
      <c r="B126" s="61" t="s">
        <v>365</v>
      </c>
      <c r="C126" s="62">
        <v>9</v>
      </c>
      <c r="D126" s="62">
        <v>0</v>
      </c>
      <c r="E126" s="62">
        <v>251</v>
      </c>
      <c r="F126" s="61">
        <v>271</v>
      </c>
      <c r="G126" s="62">
        <v>1852178</v>
      </c>
      <c r="H126" s="62">
        <v>1847113</v>
      </c>
      <c r="I126" s="62">
        <v>175325</v>
      </c>
      <c r="J126" s="62">
        <v>89586</v>
      </c>
      <c r="K126" s="62">
        <v>-85845</v>
      </c>
      <c r="L126" s="62">
        <v>2000861</v>
      </c>
      <c r="M126" s="62">
        <v>1711462</v>
      </c>
      <c r="N126" s="62">
        <v>1618397</v>
      </c>
      <c r="O126" s="62">
        <v>2133786</v>
      </c>
      <c r="P126" s="62">
        <v>127402</v>
      </c>
      <c r="Q126" s="62">
        <v>56423</v>
      </c>
      <c r="R126" s="62">
        <v>0</v>
      </c>
      <c r="S126" s="62">
        <v>0</v>
      </c>
      <c r="T126" s="62">
        <v>-94345</v>
      </c>
      <c r="U126" s="62">
        <v>-84415</v>
      </c>
      <c r="V126" s="62">
        <v>0</v>
      </c>
      <c r="W126" s="62"/>
      <c r="X126" s="62">
        <v>-8500</v>
      </c>
      <c r="Y126" s="62">
        <v>0</v>
      </c>
      <c r="Z126" s="62">
        <v>85845</v>
      </c>
      <c r="AA126" s="62">
        <v>0</v>
      </c>
      <c r="AB126" s="62">
        <v>0</v>
      </c>
      <c r="AC126" s="62">
        <v>-8500</v>
      </c>
      <c r="AD126" s="62">
        <v>-8500</v>
      </c>
      <c r="AE126" s="62">
        <v>-8500</v>
      </c>
      <c r="AF126" s="62">
        <v>-8500</v>
      </c>
      <c r="AG126" s="62">
        <v>-8500</v>
      </c>
      <c r="AH126" s="62">
        <v>-43345</v>
      </c>
      <c r="AI126" s="63">
        <v>11.1</v>
      </c>
    </row>
    <row r="127" spans="2:35">
      <c r="B127" s="61" t="s">
        <v>366</v>
      </c>
      <c r="C127" s="62">
        <v>138</v>
      </c>
      <c r="D127" s="62">
        <v>0</v>
      </c>
      <c r="E127" s="62">
        <v>1662</v>
      </c>
      <c r="F127" s="61">
        <v>1767</v>
      </c>
      <c r="G127" s="62">
        <v>33169252</v>
      </c>
      <c r="H127" s="62">
        <v>33220132</v>
      </c>
      <c r="I127" s="62">
        <v>2801807</v>
      </c>
      <c r="J127" s="62">
        <v>1753379</v>
      </c>
      <c r="K127" s="62">
        <v>-1317231</v>
      </c>
      <c r="L127" s="62">
        <v>35490107</v>
      </c>
      <c r="M127" s="62">
        <v>30956407</v>
      </c>
      <c r="N127" s="62">
        <v>29556318</v>
      </c>
      <c r="O127" s="62">
        <v>37442226</v>
      </c>
      <c r="P127" s="62">
        <v>1953954</v>
      </c>
      <c r="Q127" s="62">
        <v>1004666</v>
      </c>
      <c r="R127" s="62">
        <v>0</v>
      </c>
      <c r="S127" s="62">
        <v>0</v>
      </c>
      <c r="T127" s="62">
        <v>-1474044</v>
      </c>
      <c r="U127" s="62">
        <v>-1535456</v>
      </c>
      <c r="V127" s="62">
        <v>0</v>
      </c>
      <c r="W127" s="62"/>
      <c r="X127" s="62">
        <v>-156813</v>
      </c>
      <c r="Y127" s="62">
        <v>0</v>
      </c>
      <c r="Z127" s="62">
        <v>1317231</v>
      </c>
      <c r="AA127" s="62">
        <v>0</v>
      </c>
      <c r="AB127" s="62">
        <v>0</v>
      </c>
      <c r="AC127" s="62">
        <v>-156813</v>
      </c>
      <c r="AD127" s="62">
        <v>-156813</v>
      </c>
      <c r="AE127" s="62">
        <v>-156813</v>
      </c>
      <c r="AF127" s="62">
        <v>-156813</v>
      </c>
      <c r="AG127" s="62">
        <v>-156813</v>
      </c>
      <c r="AH127" s="62">
        <v>-533166</v>
      </c>
      <c r="AI127" s="63">
        <v>9.4</v>
      </c>
    </row>
    <row r="128" spans="2:35">
      <c r="B128" s="61" t="s">
        <v>367</v>
      </c>
      <c r="C128" s="62">
        <v>23</v>
      </c>
      <c r="D128" s="62">
        <v>0</v>
      </c>
      <c r="E128" s="62">
        <v>333</v>
      </c>
      <c r="F128" s="61">
        <v>345</v>
      </c>
      <c r="G128" s="62">
        <v>4170840</v>
      </c>
      <c r="H128" s="62">
        <v>4247087</v>
      </c>
      <c r="I128" s="62">
        <v>342312</v>
      </c>
      <c r="J128" s="62">
        <v>258461</v>
      </c>
      <c r="K128" s="62">
        <v>-182397</v>
      </c>
      <c r="L128" s="62">
        <v>4487513</v>
      </c>
      <c r="M128" s="62">
        <v>3870580</v>
      </c>
      <c r="N128" s="62">
        <v>3684630</v>
      </c>
      <c r="O128" s="62">
        <v>4753028</v>
      </c>
      <c r="P128" s="62">
        <v>233355</v>
      </c>
      <c r="Q128" s="62">
        <v>127381</v>
      </c>
      <c r="R128" s="62">
        <v>0</v>
      </c>
      <c r="S128" s="62">
        <v>0</v>
      </c>
      <c r="T128" s="62">
        <v>-200821</v>
      </c>
      <c r="U128" s="62">
        <v>-236162</v>
      </c>
      <c r="V128" s="62">
        <v>0</v>
      </c>
      <c r="W128" s="62"/>
      <c r="X128" s="62">
        <v>-18424</v>
      </c>
      <c r="Y128" s="62">
        <v>0</v>
      </c>
      <c r="Z128" s="62">
        <v>182397</v>
      </c>
      <c r="AA128" s="62">
        <v>0</v>
      </c>
      <c r="AB128" s="62">
        <v>0</v>
      </c>
      <c r="AC128" s="62">
        <v>-18424</v>
      </c>
      <c r="AD128" s="62">
        <v>-18424</v>
      </c>
      <c r="AE128" s="62">
        <v>-18424</v>
      </c>
      <c r="AF128" s="62">
        <v>-18424</v>
      </c>
      <c r="AG128" s="62">
        <v>-18424</v>
      </c>
      <c r="AH128" s="62">
        <v>-90277</v>
      </c>
      <c r="AI128" s="63">
        <v>10.9</v>
      </c>
    </row>
    <row r="129" spans="2:35">
      <c r="B129" s="61" t="s">
        <v>368</v>
      </c>
      <c r="C129" s="62">
        <v>9</v>
      </c>
      <c r="D129" s="62">
        <v>0</v>
      </c>
      <c r="E129" s="62">
        <v>171</v>
      </c>
      <c r="F129" s="61">
        <v>179</v>
      </c>
      <c r="G129" s="62">
        <v>2115401</v>
      </c>
      <c r="H129" s="62">
        <v>2117562</v>
      </c>
      <c r="I129" s="62">
        <v>169539</v>
      </c>
      <c r="J129" s="62">
        <v>92589</v>
      </c>
      <c r="K129" s="62">
        <v>-82892</v>
      </c>
      <c r="L129" s="62">
        <v>2259819</v>
      </c>
      <c r="M129" s="62">
        <v>1976521</v>
      </c>
      <c r="N129" s="62">
        <v>1889433</v>
      </c>
      <c r="O129" s="62">
        <v>2379919</v>
      </c>
      <c r="P129" s="62">
        <v>114761</v>
      </c>
      <c r="Q129" s="62">
        <v>63887</v>
      </c>
      <c r="R129" s="62">
        <v>0</v>
      </c>
      <c r="S129" s="62">
        <v>0</v>
      </c>
      <c r="T129" s="62">
        <v>-92001</v>
      </c>
      <c r="U129" s="62">
        <v>-88808</v>
      </c>
      <c r="V129" s="62">
        <v>0</v>
      </c>
      <c r="W129" s="62"/>
      <c r="X129" s="62">
        <v>-9109</v>
      </c>
      <c r="Y129" s="62">
        <v>0</v>
      </c>
      <c r="Z129" s="62">
        <v>82892</v>
      </c>
      <c r="AA129" s="62">
        <v>0</v>
      </c>
      <c r="AB129" s="62">
        <v>0</v>
      </c>
      <c r="AC129" s="62">
        <v>-9109</v>
      </c>
      <c r="AD129" s="62">
        <v>-9109</v>
      </c>
      <c r="AE129" s="62">
        <v>-9109</v>
      </c>
      <c r="AF129" s="62">
        <v>-9109</v>
      </c>
      <c r="AG129" s="62">
        <v>-9109</v>
      </c>
      <c r="AH129" s="62">
        <v>-37347</v>
      </c>
      <c r="AI129" s="63">
        <v>10.1</v>
      </c>
    </row>
    <row r="130" spans="2:35">
      <c r="B130" s="61" t="s">
        <v>369</v>
      </c>
      <c r="C130" s="62">
        <v>240</v>
      </c>
      <c r="D130" s="62">
        <v>0</v>
      </c>
      <c r="E130" s="62">
        <v>1017</v>
      </c>
      <c r="F130" s="61">
        <v>1058</v>
      </c>
      <c r="G130" s="62">
        <v>28907129</v>
      </c>
      <c r="H130" s="62">
        <v>30287334</v>
      </c>
      <c r="I130" s="62">
        <v>2136917</v>
      </c>
      <c r="J130" s="62">
        <v>2640476</v>
      </c>
      <c r="K130" s="62">
        <v>-981921</v>
      </c>
      <c r="L130" s="62">
        <v>30661442</v>
      </c>
      <c r="M130" s="62">
        <v>27230638</v>
      </c>
      <c r="N130" s="62">
        <v>26262330</v>
      </c>
      <c r="O130" s="62">
        <v>32000684</v>
      </c>
      <c r="P130" s="62">
        <v>1381882</v>
      </c>
      <c r="Q130" s="62">
        <v>887727</v>
      </c>
      <c r="R130" s="62">
        <v>0</v>
      </c>
      <c r="S130" s="62">
        <v>0</v>
      </c>
      <c r="T130" s="62">
        <v>-1114613</v>
      </c>
      <c r="U130" s="62">
        <v>-2535201</v>
      </c>
      <c r="V130" s="62">
        <v>0</v>
      </c>
      <c r="W130" s="62"/>
      <c r="X130" s="62">
        <v>-132692</v>
      </c>
      <c r="Y130" s="62">
        <v>0</v>
      </c>
      <c r="Z130" s="62">
        <v>981921</v>
      </c>
      <c r="AA130" s="62">
        <v>0</v>
      </c>
      <c r="AB130" s="62">
        <v>0</v>
      </c>
      <c r="AC130" s="62">
        <v>-132692</v>
      </c>
      <c r="AD130" s="62">
        <v>-132692</v>
      </c>
      <c r="AE130" s="62">
        <v>-132692</v>
      </c>
      <c r="AF130" s="62">
        <v>-132692</v>
      </c>
      <c r="AG130" s="62">
        <v>-132692</v>
      </c>
      <c r="AH130" s="62">
        <v>-318461</v>
      </c>
      <c r="AI130" s="63">
        <v>8.4</v>
      </c>
    </row>
    <row r="131" spans="2:35">
      <c r="B131" s="61" t="s">
        <v>370</v>
      </c>
      <c r="C131" s="62">
        <v>0</v>
      </c>
      <c r="D131" s="62">
        <v>0</v>
      </c>
      <c r="E131" s="62">
        <v>0</v>
      </c>
      <c r="F131" s="61">
        <v>0</v>
      </c>
      <c r="G131" s="62">
        <v>0</v>
      </c>
      <c r="H131" s="62">
        <v>0</v>
      </c>
      <c r="I131" s="62">
        <v>0</v>
      </c>
      <c r="J131" s="62">
        <v>0</v>
      </c>
      <c r="K131" s="62">
        <v>0</v>
      </c>
      <c r="L131" s="62">
        <v>0</v>
      </c>
      <c r="M131" s="62">
        <v>0</v>
      </c>
      <c r="N131" s="62">
        <v>0</v>
      </c>
      <c r="O131" s="62">
        <v>0</v>
      </c>
      <c r="P131" s="62">
        <v>0</v>
      </c>
      <c r="Q131" s="62">
        <v>0</v>
      </c>
      <c r="R131" s="62">
        <v>0</v>
      </c>
      <c r="S131" s="62">
        <v>0</v>
      </c>
      <c r="T131" s="62">
        <v>0</v>
      </c>
      <c r="U131" s="62">
        <v>0</v>
      </c>
      <c r="V131" s="62">
        <v>0</v>
      </c>
      <c r="W131" s="62"/>
      <c r="X131" s="62">
        <v>0</v>
      </c>
      <c r="Y131" s="62">
        <v>0</v>
      </c>
      <c r="Z131" s="62">
        <v>0</v>
      </c>
      <c r="AA131" s="62">
        <v>0</v>
      </c>
      <c r="AB131" s="62">
        <v>0</v>
      </c>
      <c r="AC131" s="62">
        <v>0</v>
      </c>
      <c r="AD131" s="62">
        <v>0</v>
      </c>
      <c r="AE131" s="62">
        <v>0</v>
      </c>
      <c r="AF131" s="62">
        <v>0</v>
      </c>
      <c r="AG131" s="62">
        <v>0</v>
      </c>
      <c r="AH131" s="62">
        <v>0</v>
      </c>
      <c r="AI131" s="63">
        <v>1</v>
      </c>
    </row>
    <row r="132" spans="2:35">
      <c r="B132" s="61" t="s">
        <v>371</v>
      </c>
      <c r="C132" s="62">
        <v>11</v>
      </c>
      <c r="D132" s="62">
        <v>0</v>
      </c>
      <c r="E132" s="62">
        <v>152</v>
      </c>
      <c r="F132" s="61">
        <v>165</v>
      </c>
      <c r="G132" s="62">
        <v>2026458</v>
      </c>
      <c r="H132" s="62">
        <v>2044979</v>
      </c>
      <c r="I132" s="62">
        <v>153769</v>
      </c>
      <c r="J132" s="62">
        <v>96374</v>
      </c>
      <c r="K132" s="62">
        <v>-86822</v>
      </c>
      <c r="L132" s="62">
        <v>2180082</v>
      </c>
      <c r="M132" s="62">
        <v>1882572</v>
      </c>
      <c r="N132" s="62">
        <v>1804721</v>
      </c>
      <c r="O132" s="62">
        <v>2287970</v>
      </c>
      <c r="P132" s="62">
        <v>102642</v>
      </c>
      <c r="Q132" s="62">
        <v>61463</v>
      </c>
      <c r="R132" s="62">
        <v>0</v>
      </c>
      <c r="S132" s="62">
        <v>0</v>
      </c>
      <c r="T132" s="62">
        <v>-97158</v>
      </c>
      <c r="U132" s="62">
        <v>-85468</v>
      </c>
      <c r="V132" s="62">
        <v>0</v>
      </c>
      <c r="W132" s="62"/>
      <c r="X132" s="62">
        <v>-10336</v>
      </c>
      <c r="Y132" s="62">
        <v>0</v>
      </c>
      <c r="Z132" s="62">
        <v>86822</v>
      </c>
      <c r="AA132" s="62">
        <v>0</v>
      </c>
      <c r="AB132" s="62">
        <v>0</v>
      </c>
      <c r="AC132" s="62">
        <v>-10336</v>
      </c>
      <c r="AD132" s="62">
        <v>-10336</v>
      </c>
      <c r="AE132" s="62">
        <v>-10336</v>
      </c>
      <c r="AF132" s="62">
        <v>-10336</v>
      </c>
      <c r="AG132" s="62">
        <v>-10336</v>
      </c>
      <c r="AH132" s="62">
        <v>-35142</v>
      </c>
      <c r="AI132" s="63">
        <v>9.4</v>
      </c>
    </row>
    <row r="133" spans="2:35">
      <c r="B133" s="61" t="s">
        <v>372</v>
      </c>
      <c r="C133" s="62">
        <v>33</v>
      </c>
      <c r="D133" s="62">
        <v>0</v>
      </c>
      <c r="E133" s="62">
        <v>0</v>
      </c>
      <c r="F133" s="61">
        <v>0</v>
      </c>
      <c r="G133" s="62">
        <v>937312</v>
      </c>
      <c r="H133" s="62">
        <v>1217902</v>
      </c>
      <c r="I133" s="62">
        <v>16724</v>
      </c>
      <c r="J133" s="62">
        <v>294979</v>
      </c>
      <c r="K133" s="62">
        <v>0</v>
      </c>
      <c r="L133" s="62">
        <v>960509</v>
      </c>
      <c r="M133" s="62">
        <v>915304</v>
      </c>
      <c r="N133" s="62">
        <v>915872</v>
      </c>
      <c r="O133" s="62">
        <v>959594</v>
      </c>
      <c r="P133" s="62">
        <v>186</v>
      </c>
      <c r="Q133" s="62">
        <v>31227</v>
      </c>
      <c r="R133" s="62">
        <v>0</v>
      </c>
      <c r="S133" s="62">
        <v>0</v>
      </c>
      <c r="T133" s="62">
        <v>-14689</v>
      </c>
      <c r="U133" s="62">
        <v>-297314</v>
      </c>
      <c r="V133" s="62">
        <v>0</v>
      </c>
      <c r="W133" s="62"/>
      <c r="X133" s="62">
        <v>-14689</v>
      </c>
      <c r="Y133" s="62">
        <v>0</v>
      </c>
      <c r="Z133" s="62">
        <v>0</v>
      </c>
      <c r="AA133" s="62">
        <v>0</v>
      </c>
      <c r="AB133" s="62">
        <v>0</v>
      </c>
      <c r="AC133" s="62">
        <v>0</v>
      </c>
      <c r="AD133" s="62">
        <v>0</v>
      </c>
      <c r="AE133" s="62">
        <v>0</v>
      </c>
      <c r="AF133" s="62">
        <v>0</v>
      </c>
      <c r="AG133" s="62">
        <v>0</v>
      </c>
      <c r="AH133" s="62">
        <v>0</v>
      </c>
      <c r="AI133" s="63">
        <v>1</v>
      </c>
    </row>
    <row r="134" spans="2:35">
      <c r="B134" s="61" t="s">
        <v>373</v>
      </c>
      <c r="C134" s="62">
        <v>43</v>
      </c>
      <c r="D134" s="62">
        <v>0</v>
      </c>
      <c r="E134" s="62">
        <v>1062</v>
      </c>
      <c r="F134" s="61">
        <v>1154</v>
      </c>
      <c r="G134" s="62">
        <v>12341926</v>
      </c>
      <c r="H134" s="62">
        <v>12211818</v>
      </c>
      <c r="I134" s="62">
        <v>1092316</v>
      </c>
      <c r="J134" s="62">
        <v>460065</v>
      </c>
      <c r="K134" s="62">
        <v>-570076</v>
      </c>
      <c r="L134" s="62">
        <v>13336960</v>
      </c>
      <c r="M134" s="62">
        <v>11395957</v>
      </c>
      <c r="N134" s="62">
        <v>10781280</v>
      </c>
      <c r="O134" s="62">
        <v>14211069</v>
      </c>
      <c r="P134" s="62">
        <v>779979</v>
      </c>
      <c r="Q134" s="62">
        <v>373635</v>
      </c>
      <c r="R134" s="62">
        <v>0</v>
      </c>
      <c r="S134" s="62">
        <v>0</v>
      </c>
      <c r="T134" s="62">
        <v>-631374</v>
      </c>
      <c r="U134" s="62">
        <v>-392132</v>
      </c>
      <c r="V134" s="62">
        <v>0</v>
      </c>
      <c r="W134" s="62"/>
      <c r="X134" s="62">
        <v>-61298</v>
      </c>
      <c r="Y134" s="62">
        <v>0</v>
      </c>
      <c r="Z134" s="62">
        <v>570076</v>
      </c>
      <c r="AA134" s="62">
        <v>0</v>
      </c>
      <c r="AB134" s="62">
        <v>0</v>
      </c>
      <c r="AC134" s="62">
        <v>-61298</v>
      </c>
      <c r="AD134" s="62">
        <v>-61298</v>
      </c>
      <c r="AE134" s="62">
        <v>-61298</v>
      </c>
      <c r="AF134" s="62">
        <v>-61298</v>
      </c>
      <c r="AG134" s="62">
        <v>-61298</v>
      </c>
      <c r="AH134" s="62">
        <v>-263586</v>
      </c>
      <c r="AI134" s="63">
        <v>10.3</v>
      </c>
    </row>
    <row r="135" spans="2:35">
      <c r="B135" s="61" t="s">
        <v>374</v>
      </c>
      <c r="C135" s="62">
        <v>0</v>
      </c>
      <c r="D135" s="62">
        <v>0</v>
      </c>
      <c r="E135" s="62">
        <v>0</v>
      </c>
      <c r="F135" s="61">
        <v>0</v>
      </c>
      <c r="G135" s="62">
        <v>0</v>
      </c>
      <c r="H135" s="62">
        <v>0</v>
      </c>
      <c r="I135" s="62">
        <v>0</v>
      </c>
      <c r="J135" s="62">
        <v>0</v>
      </c>
      <c r="K135" s="62">
        <v>0</v>
      </c>
      <c r="L135" s="62">
        <v>0</v>
      </c>
      <c r="M135" s="62">
        <v>0</v>
      </c>
      <c r="N135" s="62">
        <v>0</v>
      </c>
      <c r="O135" s="62">
        <v>0</v>
      </c>
      <c r="P135" s="62">
        <v>0</v>
      </c>
      <c r="Q135" s="62">
        <v>0</v>
      </c>
      <c r="R135" s="62">
        <v>0</v>
      </c>
      <c r="S135" s="62">
        <v>0</v>
      </c>
      <c r="T135" s="62">
        <v>0</v>
      </c>
      <c r="U135" s="62">
        <v>0</v>
      </c>
      <c r="V135" s="62">
        <v>0</v>
      </c>
      <c r="W135" s="62"/>
      <c r="X135" s="62">
        <v>0</v>
      </c>
      <c r="Y135" s="62">
        <v>0</v>
      </c>
      <c r="Z135" s="62">
        <v>0</v>
      </c>
      <c r="AA135" s="62">
        <v>0</v>
      </c>
      <c r="AB135" s="62">
        <v>0</v>
      </c>
      <c r="AC135" s="62">
        <v>0</v>
      </c>
      <c r="AD135" s="62">
        <v>0</v>
      </c>
      <c r="AE135" s="62">
        <v>0</v>
      </c>
      <c r="AF135" s="62">
        <v>0</v>
      </c>
      <c r="AG135" s="62">
        <v>0</v>
      </c>
      <c r="AH135" s="62">
        <v>0</v>
      </c>
      <c r="AI135" s="63">
        <v>1</v>
      </c>
    </row>
    <row r="136" spans="2:35">
      <c r="B136" s="61" t="s">
        <v>375</v>
      </c>
      <c r="C136" s="62">
        <v>0</v>
      </c>
      <c r="D136" s="62">
        <v>0</v>
      </c>
      <c r="E136" s="62">
        <v>0</v>
      </c>
      <c r="F136" s="61">
        <v>0</v>
      </c>
      <c r="G136" s="62">
        <v>0</v>
      </c>
      <c r="H136" s="62">
        <v>0</v>
      </c>
      <c r="I136" s="62">
        <v>0</v>
      </c>
      <c r="J136" s="62">
        <v>0</v>
      </c>
      <c r="K136" s="62">
        <v>0</v>
      </c>
      <c r="L136" s="62">
        <v>0</v>
      </c>
      <c r="M136" s="62">
        <v>0</v>
      </c>
      <c r="N136" s="62">
        <v>0</v>
      </c>
      <c r="O136" s="62">
        <v>0</v>
      </c>
      <c r="P136" s="62">
        <v>0</v>
      </c>
      <c r="Q136" s="62">
        <v>0</v>
      </c>
      <c r="R136" s="62">
        <v>0</v>
      </c>
      <c r="S136" s="62">
        <v>0</v>
      </c>
      <c r="T136" s="62">
        <v>0</v>
      </c>
      <c r="U136" s="62">
        <v>0</v>
      </c>
      <c r="V136" s="62">
        <v>0</v>
      </c>
      <c r="W136" s="62"/>
      <c r="X136" s="62">
        <v>0</v>
      </c>
      <c r="Y136" s="62">
        <v>0</v>
      </c>
      <c r="Z136" s="62">
        <v>0</v>
      </c>
      <c r="AA136" s="62">
        <v>0</v>
      </c>
      <c r="AB136" s="62">
        <v>0</v>
      </c>
      <c r="AC136" s="62">
        <v>0</v>
      </c>
      <c r="AD136" s="62">
        <v>0</v>
      </c>
      <c r="AE136" s="62">
        <v>0</v>
      </c>
      <c r="AF136" s="62">
        <v>0</v>
      </c>
      <c r="AG136" s="62">
        <v>0</v>
      </c>
      <c r="AH136" s="62">
        <v>0</v>
      </c>
      <c r="AI136" s="63">
        <v>1</v>
      </c>
    </row>
    <row r="137" spans="2:35">
      <c r="B137" s="61" t="s">
        <v>376</v>
      </c>
      <c r="C137" s="62">
        <v>0</v>
      </c>
      <c r="D137" s="62">
        <v>0</v>
      </c>
      <c r="E137" s="62">
        <v>0</v>
      </c>
      <c r="F137" s="61">
        <v>0</v>
      </c>
      <c r="G137" s="62">
        <v>0</v>
      </c>
      <c r="H137" s="62">
        <v>0</v>
      </c>
      <c r="I137" s="62">
        <v>0</v>
      </c>
      <c r="J137" s="62">
        <v>0</v>
      </c>
      <c r="K137" s="62">
        <v>0</v>
      </c>
      <c r="L137" s="62">
        <v>0</v>
      </c>
      <c r="M137" s="62">
        <v>0</v>
      </c>
      <c r="N137" s="62">
        <v>0</v>
      </c>
      <c r="O137" s="62">
        <v>0</v>
      </c>
      <c r="P137" s="62">
        <v>0</v>
      </c>
      <c r="Q137" s="62">
        <v>0</v>
      </c>
      <c r="R137" s="62">
        <v>0</v>
      </c>
      <c r="S137" s="62">
        <v>0</v>
      </c>
      <c r="T137" s="62">
        <v>0</v>
      </c>
      <c r="U137" s="62">
        <v>0</v>
      </c>
      <c r="V137" s="62">
        <v>0</v>
      </c>
      <c r="W137" s="62"/>
      <c r="X137" s="62">
        <v>0</v>
      </c>
      <c r="Y137" s="62">
        <v>0</v>
      </c>
      <c r="Z137" s="62">
        <v>0</v>
      </c>
      <c r="AA137" s="62">
        <v>0</v>
      </c>
      <c r="AB137" s="62">
        <v>0</v>
      </c>
      <c r="AC137" s="62">
        <v>0</v>
      </c>
      <c r="AD137" s="62">
        <v>0</v>
      </c>
      <c r="AE137" s="62">
        <v>0</v>
      </c>
      <c r="AF137" s="62">
        <v>0</v>
      </c>
      <c r="AG137" s="62">
        <v>0</v>
      </c>
      <c r="AH137" s="62">
        <v>0</v>
      </c>
      <c r="AI137" s="63">
        <v>1</v>
      </c>
    </row>
    <row r="138" spans="2:35">
      <c r="B138" s="61" t="s">
        <v>377</v>
      </c>
      <c r="C138" s="62">
        <v>8</v>
      </c>
      <c r="D138" s="62">
        <v>0</v>
      </c>
      <c r="E138" s="62">
        <v>114</v>
      </c>
      <c r="F138" s="61">
        <v>122</v>
      </c>
      <c r="G138" s="62">
        <v>1279160</v>
      </c>
      <c r="H138" s="62">
        <v>1303019</v>
      </c>
      <c r="I138" s="62">
        <v>110294</v>
      </c>
      <c r="J138" s="62">
        <v>75381</v>
      </c>
      <c r="K138" s="62">
        <v>-61515</v>
      </c>
      <c r="L138" s="62">
        <v>1385588</v>
      </c>
      <c r="M138" s="62">
        <v>1179013</v>
      </c>
      <c r="N138" s="62">
        <v>1120337</v>
      </c>
      <c r="O138" s="62">
        <v>1471823</v>
      </c>
      <c r="P138" s="62">
        <v>77029</v>
      </c>
      <c r="Q138" s="62">
        <v>39237</v>
      </c>
      <c r="R138" s="62">
        <v>0</v>
      </c>
      <c r="S138" s="62">
        <v>0</v>
      </c>
      <c r="T138" s="62">
        <v>-67487</v>
      </c>
      <c r="U138" s="62">
        <v>-72638</v>
      </c>
      <c r="V138" s="62">
        <v>0</v>
      </c>
      <c r="W138" s="62"/>
      <c r="X138" s="62">
        <v>-5972</v>
      </c>
      <c r="Y138" s="62">
        <v>0</v>
      </c>
      <c r="Z138" s="62">
        <v>61515</v>
      </c>
      <c r="AA138" s="62">
        <v>0</v>
      </c>
      <c r="AB138" s="62">
        <v>0</v>
      </c>
      <c r="AC138" s="62">
        <v>-5972</v>
      </c>
      <c r="AD138" s="62">
        <v>-5972</v>
      </c>
      <c r="AE138" s="62">
        <v>-5972</v>
      </c>
      <c r="AF138" s="62">
        <v>-5972</v>
      </c>
      <c r="AG138" s="62">
        <v>-5972</v>
      </c>
      <c r="AH138" s="62">
        <v>-31655</v>
      </c>
      <c r="AI138" s="63">
        <v>11.3</v>
      </c>
    </row>
    <row r="139" spans="2:35">
      <c r="B139" s="61" t="s">
        <v>378</v>
      </c>
      <c r="C139" s="62">
        <v>31</v>
      </c>
      <c r="D139" s="62">
        <v>0</v>
      </c>
      <c r="E139" s="62">
        <v>403</v>
      </c>
      <c r="F139" s="61">
        <v>416</v>
      </c>
      <c r="G139" s="62">
        <v>6761347</v>
      </c>
      <c r="H139" s="62">
        <v>6766947</v>
      </c>
      <c r="I139" s="62">
        <v>609505</v>
      </c>
      <c r="J139" s="62">
        <v>397801</v>
      </c>
      <c r="K139" s="62">
        <v>-257814</v>
      </c>
      <c r="L139" s="62">
        <v>7214007</v>
      </c>
      <c r="M139" s="62">
        <v>6326690</v>
      </c>
      <c r="N139" s="62">
        <v>6032736</v>
      </c>
      <c r="O139" s="62">
        <v>7621375</v>
      </c>
      <c r="P139" s="62">
        <v>435113</v>
      </c>
      <c r="Q139" s="62">
        <v>205084</v>
      </c>
      <c r="R139" s="62">
        <v>0</v>
      </c>
      <c r="S139" s="62">
        <v>0</v>
      </c>
      <c r="T139" s="62">
        <v>-288506</v>
      </c>
      <c r="U139" s="62">
        <v>-357291</v>
      </c>
      <c r="V139" s="62">
        <v>0</v>
      </c>
      <c r="W139" s="62"/>
      <c r="X139" s="62">
        <v>-30692</v>
      </c>
      <c r="Y139" s="62">
        <v>0</v>
      </c>
      <c r="Z139" s="62">
        <v>257814</v>
      </c>
      <c r="AA139" s="62">
        <v>0</v>
      </c>
      <c r="AB139" s="62">
        <v>0</v>
      </c>
      <c r="AC139" s="62">
        <v>-30692</v>
      </c>
      <c r="AD139" s="62">
        <v>-30692</v>
      </c>
      <c r="AE139" s="62">
        <v>-30692</v>
      </c>
      <c r="AF139" s="62">
        <v>-30692</v>
      </c>
      <c r="AG139" s="62">
        <v>-30692</v>
      </c>
      <c r="AH139" s="62">
        <v>-104354</v>
      </c>
      <c r="AI139" s="63">
        <v>9.4</v>
      </c>
    </row>
    <row r="140" spans="2:35">
      <c r="B140" s="61" t="s">
        <v>379</v>
      </c>
      <c r="C140" s="62">
        <v>17</v>
      </c>
      <c r="D140" s="62">
        <v>0</v>
      </c>
      <c r="E140" s="62">
        <v>278</v>
      </c>
      <c r="F140" s="61">
        <v>289</v>
      </c>
      <c r="G140" s="62">
        <v>3529934</v>
      </c>
      <c r="H140" s="62">
        <v>3550658</v>
      </c>
      <c r="I140" s="62">
        <v>311382</v>
      </c>
      <c r="J140" s="62">
        <v>183131</v>
      </c>
      <c r="K140" s="62">
        <v>-155045</v>
      </c>
      <c r="L140" s="62">
        <v>3800525</v>
      </c>
      <c r="M140" s="62">
        <v>3272262</v>
      </c>
      <c r="N140" s="62">
        <v>3108688</v>
      </c>
      <c r="O140" s="62">
        <v>4034329</v>
      </c>
      <c r="P140" s="62">
        <v>220180</v>
      </c>
      <c r="Q140" s="62">
        <v>107523</v>
      </c>
      <c r="R140" s="62">
        <v>0</v>
      </c>
      <c r="S140" s="62">
        <v>0</v>
      </c>
      <c r="T140" s="62">
        <v>-171366</v>
      </c>
      <c r="U140" s="62">
        <v>-177061</v>
      </c>
      <c r="V140" s="62">
        <v>0</v>
      </c>
      <c r="W140" s="62"/>
      <c r="X140" s="62">
        <v>-16321</v>
      </c>
      <c r="Y140" s="62">
        <v>0</v>
      </c>
      <c r="Z140" s="62">
        <v>155045</v>
      </c>
      <c r="AA140" s="62">
        <v>0</v>
      </c>
      <c r="AB140" s="62">
        <v>0</v>
      </c>
      <c r="AC140" s="62">
        <v>-16321</v>
      </c>
      <c r="AD140" s="62">
        <v>-16321</v>
      </c>
      <c r="AE140" s="62">
        <v>-16321</v>
      </c>
      <c r="AF140" s="62">
        <v>-16321</v>
      </c>
      <c r="AG140" s="62">
        <v>-16321</v>
      </c>
      <c r="AH140" s="62">
        <v>-73440</v>
      </c>
      <c r="AI140" s="63">
        <v>10.5</v>
      </c>
    </row>
    <row r="141" spans="2:35">
      <c r="B141" s="61" t="s">
        <v>380</v>
      </c>
      <c r="C141" s="62">
        <v>9</v>
      </c>
      <c r="D141" s="62">
        <v>0</v>
      </c>
      <c r="E141" s="62">
        <v>181</v>
      </c>
      <c r="F141" s="61">
        <v>188</v>
      </c>
      <c r="G141" s="62">
        <v>1638246</v>
      </c>
      <c r="H141" s="62">
        <v>1646201</v>
      </c>
      <c r="I141" s="62">
        <v>148386</v>
      </c>
      <c r="J141" s="62">
        <v>85270</v>
      </c>
      <c r="K141" s="62">
        <v>-73749</v>
      </c>
      <c r="L141" s="62">
        <v>1765706</v>
      </c>
      <c r="M141" s="62">
        <v>1517225</v>
      </c>
      <c r="N141" s="62">
        <v>1440214</v>
      </c>
      <c r="O141" s="62">
        <v>1876431</v>
      </c>
      <c r="P141" s="62">
        <v>105667</v>
      </c>
      <c r="Q141" s="62">
        <v>49949</v>
      </c>
      <c r="R141" s="62">
        <v>0</v>
      </c>
      <c r="S141" s="62">
        <v>0</v>
      </c>
      <c r="T141" s="62">
        <v>-80979</v>
      </c>
      <c r="U141" s="62">
        <v>-82592</v>
      </c>
      <c r="V141" s="62">
        <v>0</v>
      </c>
      <c r="W141" s="62"/>
      <c r="X141" s="62">
        <v>-7230</v>
      </c>
      <c r="Y141" s="62">
        <v>0</v>
      </c>
      <c r="Z141" s="62">
        <v>73749</v>
      </c>
      <c r="AA141" s="62">
        <v>0</v>
      </c>
      <c r="AB141" s="62">
        <v>0</v>
      </c>
      <c r="AC141" s="62">
        <v>-7230</v>
      </c>
      <c r="AD141" s="62">
        <v>-7230</v>
      </c>
      <c r="AE141" s="62">
        <v>-7230</v>
      </c>
      <c r="AF141" s="62">
        <v>-7230</v>
      </c>
      <c r="AG141" s="62">
        <v>-7230</v>
      </c>
      <c r="AH141" s="62">
        <v>-37599</v>
      </c>
      <c r="AI141" s="63">
        <v>11.2</v>
      </c>
    </row>
    <row r="142" spans="2:35">
      <c r="B142" s="61" t="s">
        <v>381</v>
      </c>
      <c r="C142" s="62">
        <v>18</v>
      </c>
      <c r="D142" s="62">
        <v>0</v>
      </c>
      <c r="E142" s="62">
        <v>331</v>
      </c>
      <c r="F142" s="61">
        <v>362</v>
      </c>
      <c r="G142" s="62">
        <v>3620533</v>
      </c>
      <c r="H142" s="62">
        <v>3628319</v>
      </c>
      <c r="I142" s="62">
        <v>287513</v>
      </c>
      <c r="J142" s="62">
        <v>148940</v>
      </c>
      <c r="K142" s="62">
        <v>-156030</v>
      </c>
      <c r="L142" s="62">
        <v>3890752</v>
      </c>
      <c r="M142" s="62">
        <v>3361245</v>
      </c>
      <c r="N142" s="62">
        <v>3198047</v>
      </c>
      <c r="O142" s="62">
        <v>4118503</v>
      </c>
      <c r="P142" s="62">
        <v>193860</v>
      </c>
      <c r="Q142" s="62">
        <v>109574</v>
      </c>
      <c r="R142" s="62">
        <v>0</v>
      </c>
      <c r="S142" s="62">
        <v>0</v>
      </c>
      <c r="T142" s="62">
        <v>-171951</v>
      </c>
      <c r="U142" s="62">
        <v>-139269</v>
      </c>
      <c r="V142" s="62">
        <v>0</v>
      </c>
      <c r="W142" s="62"/>
      <c r="X142" s="62">
        <v>-15921</v>
      </c>
      <c r="Y142" s="62">
        <v>0</v>
      </c>
      <c r="Z142" s="62">
        <v>156030</v>
      </c>
      <c r="AA142" s="62">
        <v>0</v>
      </c>
      <c r="AB142" s="62">
        <v>0</v>
      </c>
      <c r="AC142" s="62">
        <v>-15921</v>
      </c>
      <c r="AD142" s="62">
        <v>-15921</v>
      </c>
      <c r="AE142" s="62">
        <v>-15921</v>
      </c>
      <c r="AF142" s="62">
        <v>-15921</v>
      </c>
      <c r="AG142" s="62">
        <v>-15921</v>
      </c>
      <c r="AH142" s="62">
        <v>-76425</v>
      </c>
      <c r="AI142" s="63">
        <v>10.8</v>
      </c>
    </row>
    <row r="143" spans="2:35">
      <c r="B143" s="61" t="s">
        <v>382</v>
      </c>
      <c r="C143" s="62">
        <v>8</v>
      </c>
      <c r="D143" s="62">
        <v>0</v>
      </c>
      <c r="E143" s="62">
        <v>120</v>
      </c>
      <c r="F143" s="61">
        <v>125</v>
      </c>
      <c r="G143" s="62">
        <v>1927488</v>
      </c>
      <c r="H143" s="62">
        <v>1963704</v>
      </c>
      <c r="I143" s="62">
        <v>135239</v>
      </c>
      <c r="J143" s="62">
        <v>102991</v>
      </c>
      <c r="K143" s="62">
        <v>-75584</v>
      </c>
      <c r="L143" s="62">
        <v>2059157</v>
      </c>
      <c r="M143" s="62">
        <v>1801404</v>
      </c>
      <c r="N143" s="62">
        <v>1732196</v>
      </c>
      <c r="O143" s="62">
        <v>2155253</v>
      </c>
      <c r="P143" s="62">
        <v>84945</v>
      </c>
      <c r="Q143" s="62">
        <v>58421</v>
      </c>
      <c r="R143" s="62">
        <v>0</v>
      </c>
      <c r="S143" s="62">
        <v>0</v>
      </c>
      <c r="T143" s="62">
        <v>-83711</v>
      </c>
      <c r="U143" s="62">
        <v>-95871</v>
      </c>
      <c r="V143" s="62">
        <v>0</v>
      </c>
      <c r="W143" s="62"/>
      <c r="X143" s="62">
        <v>-8127</v>
      </c>
      <c r="Y143" s="62">
        <v>0</v>
      </c>
      <c r="Z143" s="62">
        <v>75584</v>
      </c>
      <c r="AA143" s="62">
        <v>0</v>
      </c>
      <c r="AB143" s="62">
        <v>0</v>
      </c>
      <c r="AC143" s="62">
        <v>-8127</v>
      </c>
      <c r="AD143" s="62">
        <v>-8127</v>
      </c>
      <c r="AE143" s="62">
        <v>-8127</v>
      </c>
      <c r="AF143" s="62">
        <v>-8127</v>
      </c>
      <c r="AG143" s="62">
        <v>-8127</v>
      </c>
      <c r="AH143" s="62">
        <v>-34949</v>
      </c>
      <c r="AI143" s="63">
        <v>10.3</v>
      </c>
    </row>
    <row r="144" spans="2:35">
      <c r="B144" s="61" t="s">
        <v>383</v>
      </c>
      <c r="C144" s="62">
        <v>4</v>
      </c>
      <c r="D144" s="62">
        <v>0</v>
      </c>
      <c r="E144" s="62">
        <v>92</v>
      </c>
      <c r="F144" s="61">
        <v>97</v>
      </c>
      <c r="G144" s="62">
        <v>1008118</v>
      </c>
      <c r="H144" s="62">
        <v>1011251</v>
      </c>
      <c r="I144" s="62">
        <v>77043</v>
      </c>
      <c r="J144" s="62">
        <v>45305</v>
      </c>
      <c r="K144" s="62">
        <v>-40360</v>
      </c>
      <c r="L144" s="62">
        <v>1078452</v>
      </c>
      <c r="M144" s="62">
        <v>941269</v>
      </c>
      <c r="N144" s="62">
        <v>903784</v>
      </c>
      <c r="O144" s="62">
        <v>1131658</v>
      </c>
      <c r="P144" s="62">
        <v>51138</v>
      </c>
      <c r="Q144" s="62">
        <v>30440</v>
      </c>
      <c r="R144" s="62">
        <v>0</v>
      </c>
      <c r="S144" s="62">
        <v>0</v>
      </c>
      <c r="T144" s="62">
        <v>-44895</v>
      </c>
      <c r="U144" s="62">
        <v>-39816</v>
      </c>
      <c r="V144" s="62">
        <v>0</v>
      </c>
      <c r="W144" s="62"/>
      <c r="X144" s="62">
        <v>-4535</v>
      </c>
      <c r="Y144" s="62">
        <v>0</v>
      </c>
      <c r="Z144" s="62">
        <v>40360</v>
      </c>
      <c r="AA144" s="62">
        <v>0</v>
      </c>
      <c r="AB144" s="62">
        <v>0</v>
      </c>
      <c r="AC144" s="62">
        <v>-4535</v>
      </c>
      <c r="AD144" s="62">
        <v>-4535</v>
      </c>
      <c r="AE144" s="62">
        <v>-4535</v>
      </c>
      <c r="AF144" s="62">
        <v>-4535</v>
      </c>
      <c r="AG144" s="62">
        <v>-4535</v>
      </c>
      <c r="AH144" s="62">
        <v>-17685</v>
      </c>
      <c r="AI144" s="63">
        <v>9.9</v>
      </c>
    </row>
    <row r="145" spans="2:35">
      <c r="B145" s="61" t="s">
        <v>384</v>
      </c>
      <c r="C145" s="62">
        <v>40</v>
      </c>
      <c r="D145" s="62">
        <v>0</v>
      </c>
      <c r="E145" s="62">
        <v>721</v>
      </c>
      <c r="F145" s="61">
        <v>765</v>
      </c>
      <c r="G145" s="62">
        <v>6139467</v>
      </c>
      <c r="H145" s="62">
        <v>6164994</v>
      </c>
      <c r="I145" s="62">
        <v>520804</v>
      </c>
      <c r="J145" s="62">
        <v>336848</v>
      </c>
      <c r="K145" s="62">
        <v>-246138</v>
      </c>
      <c r="L145" s="62">
        <v>6568311</v>
      </c>
      <c r="M145" s="62">
        <v>5730635</v>
      </c>
      <c r="N145" s="62">
        <v>5470633</v>
      </c>
      <c r="O145" s="62">
        <v>6934260</v>
      </c>
      <c r="P145" s="62">
        <v>361371</v>
      </c>
      <c r="Q145" s="62">
        <v>186187</v>
      </c>
      <c r="R145" s="62">
        <v>0</v>
      </c>
      <c r="S145" s="62">
        <v>0</v>
      </c>
      <c r="T145" s="62">
        <v>-272892</v>
      </c>
      <c r="U145" s="62">
        <v>-300193</v>
      </c>
      <c r="V145" s="62">
        <v>0</v>
      </c>
      <c r="W145" s="62"/>
      <c r="X145" s="62">
        <v>-26754</v>
      </c>
      <c r="Y145" s="62">
        <v>0</v>
      </c>
      <c r="Z145" s="62">
        <v>246138</v>
      </c>
      <c r="AA145" s="62">
        <v>0</v>
      </c>
      <c r="AB145" s="62">
        <v>0</v>
      </c>
      <c r="AC145" s="62">
        <v>-26754</v>
      </c>
      <c r="AD145" s="62">
        <v>-26754</v>
      </c>
      <c r="AE145" s="62">
        <v>-26754</v>
      </c>
      <c r="AF145" s="62">
        <v>-26754</v>
      </c>
      <c r="AG145" s="62">
        <v>-26754</v>
      </c>
      <c r="AH145" s="62">
        <v>-112368</v>
      </c>
      <c r="AI145" s="63">
        <v>10.199999999999999</v>
      </c>
    </row>
    <row r="146" spans="2:35">
      <c r="B146" s="61" t="s">
        <v>385</v>
      </c>
      <c r="C146" s="62">
        <v>50</v>
      </c>
      <c r="D146" s="62">
        <v>0</v>
      </c>
      <c r="E146" s="62">
        <v>848</v>
      </c>
      <c r="F146" s="61">
        <v>907</v>
      </c>
      <c r="G146" s="62">
        <v>10449817</v>
      </c>
      <c r="H146" s="62">
        <v>10491727</v>
      </c>
      <c r="I146" s="62">
        <v>932327</v>
      </c>
      <c r="J146" s="62">
        <v>583092</v>
      </c>
      <c r="K146" s="62">
        <v>-437444</v>
      </c>
      <c r="L146" s="62">
        <v>11214609</v>
      </c>
      <c r="M146" s="62">
        <v>9720516</v>
      </c>
      <c r="N146" s="62">
        <v>9241985</v>
      </c>
      <c r="O146" s="62">
        <v>11890145</v>
      </c>
      <c r="P146" s="62">
        <v>663050</v>
      </c>
      <c r="Q146" s="62">
        <v>317882</v>
      </c>
      <c r="R146" s="62">
        <v>0</v>
      </c>
      <c r="S146" s="62">
        <v>0</v>
      </c>
      <c r="T146" s="62">
        <v>-486049</v>
      </c>
      <c r="U146" s="62">
        <v>-536793</v>
      </c>
      <c r="V146" s="62">
        <v>0</v>
      </c>
      <c r="W146" s="62"/>
      <c r="X146" s="62">
        <v>-48605</v>
      </c>
      <c r="Y146" s="62">
        <v>0</v>
      </c>
      <c r="Z146" s="62">
        <v>437444</v>
      </c>
      <c r="AA146" s="62">
        <v>0</v>
      </c>
      <c r="AB146" s="62">
        <v>0</v>
      </c>
      <c r="AC146" s="62">
        <v>-48605</v>
      </c>
      <c r="AD146" s="62">
        <v>-48605</v>
      </c>
      <c r="AE146" s="62">
        <v>-48605</v>
      </c>
      <c r="AF146" s="62">
        <v>-48605</v>
      </c>
      <c r="AG146" s="62">
        <v>-48605</v>
      </c>
      <c r="AH146" s="62">
        <v>-194419</v>
      </c>
      <c r="AI146" s="63">
        <v>10</v>
      </c>
    </row>
    <row r="147" spans="2:35">
      <c r="B147" s="61" t="s">
        <v>386</v>
      </c>
      <c r="C147" s="62">
        <v>22</v>
      </c>
      <c r="D147" s="62">
        <v>0</v>
      </c>
      <c r="E147" s="62">
        <v>267</v>
      </c>
      <c r="F147" s="61">
        <v>285</v>
      </c>
      <c r="G147" s="62">
        <v>6516556</v>
      </c>
      <c r="H147" s="62">
        <v>6649875</v>
      </c>
      <c r="I147" s="62">
        <v>447491</v>
      </c>
      <c r="J147" s="62">
        <v>321089</v>
      </c>
      <c r="K147" s="62">
        <v>-276973</v>
      </c>
      <c r="L147" s="62">
        <v>7000023</v>
      </c>
      <c r="M147" s="62">
        <v>6055977</v>
      </c>
      <c r="N147" s="62">
        <v>5807535</v>
      </c>
      <c r="O147" s="62">
        <v>7348379</v>
      </c>
      <c r="P147" s="62">
        <v>279690</v>
      </c>
      <c r="Q147" s="62">
        <v>197907</v>
      </c>
      <c r="R147" s="62">
        <v>0</v>
      </c>
      <c r="S147" s="62">
        <v>0</v>
      </c>
      <c r="T147" s="62">
        <v>-307079</v>
      </c>
      <c r="U147" s="62">
        <v>-303837</v>
      </c>
      <c r="V147" s="62">
        <v>0</v>
      </c>
      <c r="W147" s="62"/>
      <c r="X147" s="62">
        <v>-30106</v>
      </c>
      <c r="Y147" s="62">
        <v>0</v>
      </c>
      <c r="Z147" s="62">
        <v>276973</v>
      </c>
      <c r="AA147" s="62">
        <v>0</v>
      </c>
      <c r="AB147" s="62">
        <v>0</v>
      </c>
      <c r="AC147" s="62">
        <v>-30106</v>
      </c>
      <c r="AD147" s="62">
        <v>-30106</v>
      </c>
      <c r="AE147" s="62">
        <v>-30106</v>
      </c>
      <c r="AF147" s="62">
        <v>-30106</v>
      </c>
      <c r="AG147" s="62">
        <v>-30106</v>
      </c>
      <c r="AH147" s="62">
        <v>-126443</v>
      </c>
      <c r="AI147" s="63">
        <v>10.199999999999999</v>
      </c>
    </row>
    <row r="148" spans="2:35">
      <c r="B148" s="61" t="s">
        <v>387</v>
      </c>
      <c r="C148" s="62">
        <v>34</v>
      </c>
      <c r="D148" s="62">
        <v>0</v>
      </c>
      <c r="E148" s="62">
        <v>456</v>
      </c>
      <c r="F148" s="61">
        <v>492</v>
      </c>
      <c r="G148" s="62">
        <v>5013531</v>
      </c>
      <c r="H148" s="62">
        <v>5152334</v>
      </c>
      <c r="I148" s="62">
        <v>400711</v>
      </c>
      <c r="J148" s="62">
        <v>359803</v>
      </c>
      <c r="K148" s="62">
        <v>-202972</v>
      </c>
      <c r="L148" s="62">
        <v>5368631</v>
      </c>
      <c r="M148" s="62">
        <v>4677257</v>
      </c>
      <c r="N148" s="62">
        <v>4473418</v>
      </c>
      <c r="O148" s="62">
        <v>5659090</v>
      </c>
      <c r="P148" s="62">
        <v>269850</v>
      </c>
      <c r="Q148" s="62">
        <v>153414</v>
      </c>
      <c r="R148" s="62">
        <v>0</v>
      </c>
      <c r="S148" s="62">
        <v>0</v>
      </c>
      <c r="T148" s="62">
        <v>-225525</v>
      </c>
      <c r="U148" s="62">
        <v>-336542</v>
      </c>
      <c r="V148" s="62">
        <v>0</v>
      </c>
      <c r="W148" s="62"/>
      <c r="X148" s="62">
        <v>-22553</v>
      </c>
      <c r="Y148" s="62">
        <v>0</v>
      </c>
      <c r="Z148" s="62">
        <v>202972</v>
      </c>
      <c r="AA148" s="62">
        <v>0</v>
      </c>
      <c r="AB148" s="62">
        <v>0</v>
      </c>
      <c r="AC148" s="62">
        <v>-22553</v>
      </c>
      <c r="AD148" s="62">
        <v>-22553</v>
      </c>
      <c r="AE148" s="62">
        <v>-22553</v>
      </c>
      <c r="AF148" s="62">
        <v>-22553</v>
      </c>
      <c r="AG148" s="62">
        <v>-22553</v>
      </c>
      <c r="AH148" s="62">
        <v>-90207</v>
      </c>
      <c r="AI148" s="63">
        <v>10</v>
      </c>
    </row>
    <row r="149" spans="2:35">
      <c r="B149" s="61" t="s">
        <v>388</v>
      </c>
      <c r="C149" s="62">
        <v>31</v>
      </c>
      <c r="D149" s="62">
        <v>0</v>
      </c>
      <c r="E149" s="62">
        <v>428</v>
      </c>
      <c r="F149" s="61">
        <v>451</v>
      </c>
      <c r="G149" s="62">
        <v>5343500</v>
      </c>
      <c r="H149" s="62">
        <v>5478920</v>
      </c>
      <c r="I149" s="62">
        <v>412003</v>
      </c>
      <c r="J149" s="62">
        <v>336460</v>
      </c>
      <c r="K149" s="62">
        <v>-221977</v>
      </c>
      <c r="L149" s="62">
        <v>5729076</v>
      </c>
      <c r="M149" s="62">
        <v>4976837</v>
      </c>
      <c r="N149" s="62">
        <v>4762054</v>
      </c>
      <c r="O149" s="62">
        <v>6033593</v>
      </c>
      <c r="P149" s="62">
        <v>271952</v>
      </c>
      <c r="Q149" s="62">
        <v>163174</v>
      </c>
      <c r="R149" s="62">
        <v>0</v>
      </c>
      <c r="S149" s="62">
        <v>0</v>
      </c>
      <c r="T149" s="62">
        <v>-245100</v>
      </c>
      <c r="U149" s="62">
        <v>-325446</v>
      </c>
      <c r="V149" s="62">
        <v>0</v>
      </c>
      <c r="W149" s="62"/>
      <c r="X149" s="62">
        <v>-23123</v>
      </c>
      <c r="Y149" s="62">
        <v>0</v>
      </c>
      <c r="Z149" s="62">
        <v>221977</v>
      </c>
      <c r="AA149" s="62">
        <v>0</v>
      </c>
      <c r="AB149" s="62">
        <v>0</v>
      </c>
      <c r="AC149" s="62">
        <v>-23123</v>
      </c>
      <c r="AD149" s="62">
        <v>-23123</v>
      </c>
      <c r="AE149" s="62">
        <v>-23123</v>
      </c>
      <c r="AF149" s="62">
        <v>-23123</v>
      </c>
      <c r="AG149" s="62">
        <v>-23123</v>
      </c>
      <c r="AH149" s="62">
        <v>-106362</v>
      </c>
      <c r="AI149" s="63">
        <v>10.6</v>
      </c>
    </row>
    <row r="150" spans="2:35">
      <c r="B150" s="61" t="s">
        <v>389</v>
      </c>
      <c r="C150" s="62">
        <v>0</v>
      </c>
      <c r="D150" s="62">
        <v>0</v>
      </c>
      <c r="E150" s="62">
        <v>0</v>
      </c>
      <c r="F150" s="61">
        <v>0</v>
      </c>
      <c r="G150" s="62">
        <v>0</v>
      </c>
      <c r="H150" s="62">
        <v>0</v>
      </c>
      <c r="I150" s="62">
        <v>0</v>
      </c>
      <c r="J150" s="62">
        <v>0</v>
      </c>
      <c r="K150" s="62">
        <v>0</v>
      </c>
      <c r="L150" s="62">
        <v>0</v>
      </c>
      <c r="M150" s="62">
        <v>0</v>
      </c>
      <c r="N150" s="62">
        <v>0</v>
      </c>
      <c r="O150" s="62">
        <v>0</v>
      </c>
      <c r="P150" s="62">
        <v>0</v>
      </c>
      <c r="Q150" s="62">
        <v>0</v>
      </c>
      <c r="R150" s="62">
        <v>0</v>
      </c>
      <c r="S150" s="62">
        <v>0</v>
      </c>
      <c r="T150" s="62">
        <v>0</v>
      </c>
      <c r="U150" s="62">
        <v>0</v>
      </c>
      <c r="V150" s="62">
        <v>0</v>
      </c>
      <c r="W150" s="62"/>
      <c r="X150" s="62">
        <v>0</v>
      </c>
      <c r="Y150" s="62">
        <v>0</v>
      </c>
      <c r="Z150" s="62">
        <v>0</v>
      </c>
      <c r="AA150" s="62">
        <v>0</v>
      </c>
      <c r="AB150" s="62">
        <v>0</v>
      </c>
      <c r="AC150" s="62">
        <v>0</v>
      </c>
      <c r="AD150" s="62">
        <v>0</v>
      </c>
      <c r="AE150" s="62">
        <v>0</v>
      </c>
      <c r="AF150" s="62">
        <v>0</v>
      </c>
      <c r="AG150" s="62">
        <v>0</v>
      </c>
      <c r="AH150" s="62">
        <v>0</v>
      </c>
      <c r="AI150" s="63">
        <v>1</v>
      </c>
    </row>
    <row r="151" spans="2:35">
      <c r="B151" s="68" t="s">
        <v>101</v>
      </c>
      <c r="C151" s="69">
        <f t="shared" ref="C151:AH151" si="0">SUM(C$5:C$150)</f>
        <v>4508</v>
      </c>
      <c r="D151" s="69">
        <f t="shared" si="0"/>
        <v>0</v>
      </c>
      <c r="E151" s="69">
        <f t="shared" si="0"/>
        <v>54711</v>
      </c>
      <c r="F151" s="69">
        <f t="shared" si="0"/>
        <v>57972</v>
      </c>
      <c r="G151" s="69">
        <f t="shared" si="0"/>
        <v>895671124</v>
      </c>
      <c r="H151" s="69">
        <f t="shared" si="0"/>
        <v>902399891</v>
      </c>
      <c r="I151" s="69">
        <f t="shared" si="0"/>
        <v>75752467</v>
      </c>
      <c r="J151" s="69">
        <f t="shared" si="0"/>
        <v>49772240</v>
      </c>
      <c r="K151" s="69">
        <f t="shared" si="0"/>
        <v>-36962909</v>
      </c>
      <c r="L151" s="69">
        <f t="shared" si="0"/>
        <v>960413722</v>
      </c>
      <c r="M151" s="69">
        <f t="shared" si="0"/>
        <v>834038240</v>
      </c>
      <c r="N151" s="69">
        <f t="shared" si="0"/>
        <v>795614127</v>
      </c>
      <c r="O151" s="69">
        <f t="shared" si="0"/>
        <v>1014353949</v>
      </c>
      <c r="P151" s="69">
        <f t="shared" si="0"/>
        <v>52675939</v>
      </c>
      <c r="Q151" s="69">
        <f t="shared" si="0"/>
        <v>27223649</v>
      </c>
      <c r="R151" s="69">
        <f t="shared" si="0"/>
        <v>0</v>
      </c>
      <c r="S151" s="69">
        <f t="shared" si="0"/>
        <v>0</v>
      </c>
      <c r="T151" s="69">
        <f t="shared" si="0"/>
        <v>-41110030</v>
      </c>
      <c r="U151" s="69">
        <f t="shared" si="0"/>
        <v>-45518325</v>
      </c>
      <c r="V151" s="69">
        <f t="shared" si="0"/>
        <v>0</v>
      </c>
      <c r="W151" s="69"/>
      <c r="X151" s="69">
        <f t="shared" si="0"/>
        <v>-4147121</v>
      </c>
      <c r="Y151" s="69">
        <f t="shared" si="0"/>
        <v>0</v>
      </c>
      <c r="Z151" s="69">
        <f t="shared" si="0"/>
        <v>36962909</v>
      </c>
      <c r="AA151" s="69">
        <f t="shared" si="0"/>
        <v>0</v>
      </c>
      <c r="AB151" s="69">
        <f t="shared" si="0"/>
        <v>0</v>
      </c>
      <c r="AC151" s="69">
        <f t="shared" si="0"/>
        <v>-4131140</v>
      </c>
      <c r="AD151" s="69">
        <f t="shared" si="0"/>
        <v>-4131139</v>
      </c>
      <c r="AE151" s="69">
        <f t="shared" si="0"/>
        <v>-4131138</v>
      </c>
      <c r="AF151" s="69">
        <f t="shared" si="0"/>
        <v>-4131138</v>
      </c>
      <c r="AG151" s="69">
        <f t="shared" si="0"/>
        <v>-4131138</v>
      </c>
      <c r="AH151" s="69">
        <f t="shared" si="0"/>
        <v>-16307216</v>
      </c>
      <c r="AI151" s="70"/>
    </row>
    <row r="156" spans="2:35">
      <c r="G156" s="64"/>
      <c r="H156" s="64"/>
      <c r="J156" s="64"/>
      <c r="K156" s="64"/>
      <c r="L156" s="64"/>
      <c r="M156" s="64"/>
      <c r="N156" s="64"/>
      <c r="O156" s="64"/>
      <c r="P156" s="64"/>
      <c r="Q156" s="64"/>
      <c r="R156" s="64"/>
      <c r="S156" s="64"/>
      <c r="T156" s="64"/>
      <c r="U156" s="64"/>
      <c r="V156" s="64"/>
      <c r="W156" s="64"/>
      <c r="X156" s="64"/>
      <c r="Y156" s="64"/>
      <c r="Z156" s="64"/>
      <c r="AA156" s="64"/>
      <c r="AB156" s="64"/>
      <c r="AC156" s="64"/>
      <c r="AD156" s="64"/>
      <c r="AE156" s="64"/>
      <c r="AF156" s="64"/>
      <c r="AG156" s="64"/>
      <c r="AH156" s="64"/>
    </row>
    <row r="158" spans="2:35">
      <c r="G158" s="64"/>
      <c r="H158" s="64"/>
      <c r="J158" s="71"/>
      <c r="K158" s="71"/>
      <c r="L158" s="71"/>
      <c r="M158" s="71"/>
      <c r="N158" s="71"/>
      <c r="O158" s="71"/>
      <c r="P158" s="71"/>
      <c r="Q158" s="71"/>
      <c r="R158" s="71"/>
      <c r="S158" s="71"/>
      <c r="T158" s="71"/>
      <c r="U158" s="71"/>
      <c r="V158" s="71"/>
      <c r="W158" s="71"/>
      <c r="X158" s="71"/>
      <c r="Y158" s="71"/>
      <c r="Z158" s="71"/>
      <c r="AA158" s="71"/>
      <c r="AB158" s="71"/>
      <c r="AC158" s="71"/>
      <c r="AD158" s="71"/>
      <c r="AE158" s="71"/>
      <c r="AF158" s="71"/>
      <c r="AG158" s="71"/>
      <c r="AH158" s="71"/>
    </row>
  </sheetData>
  <mergeCells count="12">
    <mergeCell ref="AI3:AI4"/>
    <mergeCell ref="B2:I2"/>
    <mergeCell ref="C3:F3"/>
    <mergeCell ref="G3:G4"/>
    <mergeCell ref="H3:H4"/>
    <mergeCell ref="I3:I4"/>
    <mergeCell ref="L3:O3"/>
    <mergeCell ref="P3:U3"/>
    <mergeCell ref="V3:X3"/>
    <mergeCell ref="Y3:Z3"/>
    <mergeCell ref="AA3:AB3"/>
    <mergeCell ref="AC3:AH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Y158"/>
  <sheetViews>
    <sheetView topLeftCell="AJ1" workbookViewId="0">
      <selection activeCell="AU11" sqref="AU11"/>
    </sheetView>
  </sheetViews>
  <sheetFormatPr defaultRowHeight="15"/>
  <cols>
    <col min="1" max="1" width="3.42578125" style="52" customWidth="1"/>
    <col min="2" max="2" width="62.42578125" style="52" bestFit="1" customWidth="1"/>
    <col min="3" max="3" width="19.7109375" style="52" customWidth="1"/>
    <col min="4" max="4" width="23.85546875" style="52" customWidth="1"/>
    <col min="5" max="5" width="22.42578125" customWidth="1"/>
    <col min="6" max="6" width="14.28515625" customWidth="1"/>
    <col min="7" max="7" width="13.140625" customWidth="1"/>
    <col min="8" max="8" width="13.7109375" customWidth="1"/>
    <col min="9" max="9" width="20" style="52" customWidth="1"/>
    <col min="10" max="10" width="19.42578125" style="52" customWidth="1"/>
    <col min="11" max="11" width="18.42578125" style="52" customWidth="1"/>
    <col min="12" max="12" width="20" style="52" customWidth="1"/>
    <col min="13" max="13" width="19.42578125" style="52" customWidth="1"/>
    <col min="14" max="14" width="18.42578125" style="52" customWidth="1"/>
    <col min="15" max="26" width="16.140625" style="52" customWidth="1"/>
    <col min="27" max="43" width="11.7109375" style="52" customWidth="1"/>
    <col min="44" max="44" width="13" style="52" customWidth="1"/>
    <col min="45" max="47" width="16.140625" style="52" customWidth="1"/>
    <col min="48" max="49" width="13.7109375" style="52" customWidth="1"/>
    <col min="50" max="50" width="13.5703125" style="52" customWidth="1"/>
    <col min="51" max="51" width="15.140625" style="52" customWidth="1"/>
    <col min="52" max="53" width="13.7109375" style="52" customWidth="1"/>
    <col min="54" max="54" width="13.5703125" style="52" customWidth="1"/>
    <col min="55" max="55" width="15.140625" style="52" customWidth="1"/>
    <col min="56" max="57" width="13.7109375" style="52" customWidth="1"/>
    <col min="58" max="58" width="13.5703125" style="52" customWidth="1"/>
    <col min="59" max="59" width="15.140625" style="52" customWidth="1"/>
    <col min="60" max="60" width="11.85546875" style="52" customWidth="1"/>
    <col min="61" max="61" width="12.140625" style="52" customWidth="1"/>
    <col min="62" max="16384" width="9.140625" style="52"/>
  </cols>
  <sheetData>
    <row r="1" spans="2:77">
      <c r="B1" s="52">
        <v>1</v>
      </c>
      <c r="C1" s="52">
        <v>2</v>
      </c>
      <c r="D1" s="52">
        <v>3</v>
      </c>
      <c r="E1" s="52">
        <v>4</v>
      </c>
      <c r="F1" s="52">
        <v>5</v>
      </c>
      <c r="G1" s="52">
        <v>6</v>
      </c>
      <c r="H1" s="52">
        <v>7</v>
      </c>
      <c r="I1" s="52">
        <v>8</v>
      </c>
      <c r="J1" s="52">
        <v>9</v>
      </c>
      <c r="K1" s="52">
        <v>10</v>
      </c>
      <c r="L1" s="52">
        <v>11</v>
      </c>
      <c r="M1" s="52">
        <v>12</v>
      </c>
      <c r="N1" s="52">
        <v>13</v>
      </c>
      <c r="O1" s="52">
        <v>14</v>
      </c>
      <c r="P1" s="52">
        <v>15</v>
      </c>
      <c r="Q1" s="52">
        <v>16</v>
      </c>
      <c r="R1" s="52">
        <v>17</v>
      </c>
      <c r="S1" s="52">
        <v>18</v>
      </c>
      <c r="T1" s="52">
        <v>19</v>
      </c>
      <c r="U1" s="52">
        <v>20</v>
      </c>
      <c r="V1" s="52">
        <v>21</v>
      </c>
      <c r="W1" s="52">
        <v>22</v>
      </c>
      <c r="X1" s="52">
        <v>23</v>
      </c>
      <c r="Y1" s="52">
        <v>24</v>
      </c>
      <c r="Z1" s="52">
        <v>25</v>
      </c>
      <c r="AA1" s="52">
        <v>26</v>
      </c>
      <c r="AB1" s="52">
        <v>27</v>
      </c>
      <c r="AC1" s="52">
        <v>28</v>
      </c>
      <c r="AD1" s="52">
        <v>29</v>
      </c>
      <c r="AE1" s="52">
        <v>30</v>
      </c>
      <c r="AF1" s="52">
        <v>31</v>
      </c>
      <c r="AG1" s="52">
        <v>32</v>
      </c>
      <c r="AH1" s="52">
        <v>33</v>
      </c>
      <c r="AI1" s="52">
        <v>34</v>
      </c>
      <c r="AJ1" s="52">
        <v>35</v>
      </c>
      <c r="AK1" s="52">
        <v>36</v>
      </c>
      <c r="AL1" s="52">
        <v>37</v>
      </c>
      <c r="AM1" s="52">
        <v>38</v>
      </c>
      <c r="AN1" s="52">
        <v>39</v>
      </c>
      <c r="AO1" s="52">
        <v>40</v>
      </c>
      <c r="AP1" s="52">
        <v>41</v>
      </c>
      <c r="AQ1" s="52">
        <v>42</v>
      </c>
      <c r="AR1" s="52">
        <v>43</v>
      </c>
      <c r="AS1" s="52">
        <v>44</v>
      </c>
      <c r="AT1" s="52">
        <v>45</v>
      </c>
      <c r="AU1" s="52">
        <v>46</v>
      </c>
      <c r="AV1" s="52">
        <v>47</v>
      </c>
      <c r="AW1" s="52">
        <v>48</v>
      </c>
      <c r="AX1" s="52">
        <v>49</v>
      </c>
      <c r="AY1" s="52">
        <v>50</v>
      </c>
      <c r="AZ1" s="52">
        <v>51</v>
      </c>
      <c r="BA1" s="52">
        <v>52</v>
      </c>
      <c r="BB1" s="52">
        <v>53</v>
      </c>
      <c r="BC1" s="52">
        <v>54</v>
      </c>
      <c r="BD1" s="52">
        <v>55</v>
      </c>
      <c r="BE1" s="52">
        <v>56</v>
      </c>
      <c r="BF1" s="52">
        <v>57</v>
      </c>
      <c r="BG1" s="52">
        <v>58</v>
      </c>
      <c r="BH1" s="52">
        <v>59</v>
      </c>
      <c r="BI1" s="52">
        <v>60</v>
      </c>
      <c r="BJ1" s="52">
        <v>61</v>
      </c>
      <c r="BK1" s="52">
        <v>62</v>
      </c>
      <c r="BL1" s="52">
        <v>63</v>
      </c>
      <c r="BM1" s="52">
        <v>64</v>
      </c>
      <c r="BN1" s="52">
        <v>65</v>
      </c>
      <c r="BO1" s="52">
        <v>66</v>
      </c>
      <c r="BP1" s="52">
        <v>67</v>
      </c>
      <c r="BQ1" s="52">
        <v>68</v>
      </c>
      <c r="BR1" s="52">
        <v>69</v>
      </c>
      <c r="BS1" s="52">
        <v>70</v>
      </c>
      <c r="BT1" s="52">
        <v>71</v>
      </c>
      <c r="BU1" s="52">
        <v>72</v>
      </c>
      <c r="BV1" s="52">
        <v>73</v>
      </c>
      <c r="BW1" s="52">
        <v>74</v>
      </c>
      <c r="BX1" s="52">
        <v>75</v>
      </c>
      <c r="BY1" s="52">
        <v>76</v>
      </c>
    </row>
    <row r="2" spans="2:77">
      <c r="E2" s="52"/>
      <c r="F2" s="52"/>
      <c r="G2" s="52"/>
      <c r="H2" s="52"/>
    </row>
    <row r="3" spans="2:77">
      <c r="B3" s="54"/>
      <c r="C3" s="72"/>
      <c r="D3" s="72"/>
      <c r="I3" s="300" t="s">
        <v>40</v>
      </c>
      <c r="J3" s="301"/>
      <c r="K3" s="302"/>
      <c r="L3" s="288" t="s">
        <v>212</v>
      </c>
      <c r="M3" s="288"/>
      <c r="N3" s="288"/>
      <c r="O3" s="300" t="s">
        <v>390</v>
      </c>
      <c r="P3" s="301"/>
      <c r="Q3" s="302"/>
      <c r="R3" s="287" t="s">
        <v>391</v>
      </c>
      <c r="S3" s="288"/>
      <c r="T3" s="289"/>
      <c r="U3" s="300" t="s">
        <v>392</v>
      </c>
      <c r="V3" s="301"/>
      <c r="W3" s="302"/>
      <c r="X3" s="287" t="s">
        <v>393</v>
      </c>
      <c r="Y3" s="288"/>
      <c r="Z3" s="289"/>
      <c r="AA3" s="300" t="s">
        <v>394</v>
      </c>
      <c r="AB3" s="301"/>
      <c r="AC3" s="301"/>
      <c r="AD3" s="301"/>
      <c r="AE3" s="301"/>
      <c r="AF3" s="302"/>
      <c r="AG3" s="287" t="s">
        <v>395</v>
      </c>
      <c r="AH3" s="288"/>
      <c r="AI3" s="288"/>
      <c r="AJ3" s="288"/>
      <c r="AK3" s="288"/>
      <c r="AL3" s="289"/>
      <c r="AM3" s="300" t="s">
        <v>396</v>
      </c>
      <c r="AN3" s="301"/>
      <c r="AO3" s="301"/>
      <c r="AP3" s="301"/>
      <c r="AQ3" s="301"/>
      <c r="AR3" s="302"/>
      <c r="AS3" s="287" t="s">
        <v>397</v>
      </c>
      <c r="AT3" s="288"/>
      <c r="AU3" s="289"/>
      <c r="AV3" s="297" t="s">
        <v>398</v>
      </c>
      <c r="AW3" s="298"/>
      <c r="AX3" s="298"/>
      <c r="AY3" s="299"/>
      <c r="AZ3" s="294" t="s">
        <v>399</v>
      </c>
      <c r="BA3" s="295"/>
      <c r="BB3" s="295"/>
      <c r="BC3" s="296"/>
      <c r="BD3" s="297" t="s">
        <v>400</v>
      </c>
      <c r="BE3" s="298"/>
      <c r="BF3" s="298"/>
      <c r="BG3" s="299"/>
    </row>
    <row r="4" spans="2:77" ht="28.5">
      <c r="B4" s="56" t="s">
        <v>220</v>
      </c>
      <c r="C4" s="73" t="s">
        <v>401</v>
      </c>
      <c r="D4" s="74" t="s">
        <v>402</v>
      </c>
      <c r="E4" s="73" t="s">
        <v>403</v>
      </c>
      <c r="F4" s="75" t="s">
        <v>404</v>
      </c>
      <c r="G4" s="75" t="s">
        <v>405</v>
      </c>
      <c r="H4" s="76" t="s">
        <v>406</v>
      </c>
      <c r="I4" s="77" t="s">
        <v>407</v>
      </c>
      <c r="J4" s="78" t="s">
        <v>405</v>
      </c>
      <c r="K4" s="79" t="s">
        <v>406</v>
      </c>
      <c r="L4" s="80" t="s">
        <v>408</v>
      </c>
      <c r="M4" s="81" t="s">
        <v>409</v>
      </c>
      <c r="N4" s="81" t="s">
        <v>406</v>
      </c>
      <c r="O4" s="77" t="s">
        <v>410</v>
      </c>
      <c r="P4" s="78" t="s">
        <v>405</v>
      </c>
      <c r="Q4" s="79" t="s">
        <v>406</v>
      </c>
      <c r="R4" s="80" t="s">
        <v>411</v>
      </c>
      <c r="S4" s="81" t="s">
        <v>405</v>
      </c>
      <c r="T4" s="82" t="s">
        <v>406</v>
      </c>
      <c r="U4" s="77" t="s">
        <v>410</v>
      </c>
      <c r="V4" s="78" t="s">
        <v>405</v>
      </c>
      <c r="W4" s="79" t="s">
        <v>406</v>
      </c>
      <c r="X4" s="80" t="s">
        <v>411</v>
      </c>
      <c r="Y4" s="81" t="s">
        <v>405</v>
      </c>
      <c r="Z4" s="82" t="s">
        <v>406</v>
      </c>
      <c r="AA4" s="77" t="s">
        <v>412</v>
      </c>
      <c r="AB4" s="78" t="s">
        <v>413</v>
      </c>
      <c r="AC4" s="78" t="s">
        <v>414</v>
      </c>
      <c r="AD4" s="78" t="s">
        <v>415</v>
      </c>
      <c r="AE4" s="78" t="s">
        <v>416</v>
      </c>
      <c r="AF4" s="79" t="s">
        <v>417</v>
      </c>
      <c r="AG4" s="80" t="s">
        <v>412</v>
      </c>
      <c r="AH4" s="81" t="s">
        <v>413</v>
      </c>
      <c r="AI4" s="81" t="s">
        <v>414</v>
      </c>
      <c r="AJ4" s="81" t="s">
        <v>415</v>
      </c>
      <c r="AK4" s="81" t="s">
        <v>416</v>
      </c>
      <c r="AL4" s="82" t="s">
        <v>417</v>
      </c>
      <c r="AM4" s="77" t="s">
        <v>412</v>
      </c>
      <c r="AN4" s="78" t="s">
        <v>413</v>
      </c>
      <c r="AO4" s="78" t="s">
        <v>414</v>
      </c>
      <c r="AP4" s="78" t="s">
        <v>415</v>
      </c>
      <c r="AQ4" s="78" t="s">
        <v>416</v>
      </c>
      <c r="AR4" s="79" t="s">
        <v>417</v>
      </c>
      <c r="AS4" s="80" t="s">
        <v>101</v>
      </c>
      <c r="AT4" s="81" t="s">
        <v>418</v>
      </c>
      <c r="AU4" s="82" t="s">
        <v>419</v>
      </c>
      <c r="AV4" s="83" t="s">
        <v>227</v>
      </c>
      <c r="AW4" s="84" t="s">
        <v>228</v>
      </c>
      <c r="AX4" s="84" t="s">
        <v>229</v>
      </c>
      <c r="AY4" s="85" t="s">
        <v>230</v>
      </c>
      <c r="AZ4" s="86" t="s">
        <v>227</v>
      </c>
      <c r="BA4" s="87" t="s">
        <v>228</v>
      </c>
      <c r="BB4" s="87" t="s">
        <v>229</v>
      </c>
      <c r="BC4" s="88" t="s">
        <v>230</v>
      </c>
      <c r="BD4" s="83" t="s">
        <v>227</v>
      </c>
      <c r="BE4" s="84" t="s">
        <v>228</v>
      </c>
      <c r="BF4" s="84" t="s">
        <v>229</v>
      </c>
      <c r="BG4" s="85" t="s">
        <v>230</v>
      </c>
    </row>
    <row r="5" spans="2:77">
      <c r="B5" s="89" t="s">
        <v>244</v>
      </c>
      <c r="C5" s="90">
        <f>'[1]LEA - Summary GASB75'!H5</f>
        <v>0</v>
      </c>
      <c r="D5" s="91">
        <f>C5*G5</f>
        <v>0</v>
      </c>
      <c r="E5" s="92">
        <v>0</v>
      </c>
      <c r="F5" s="93">
        <v>0</v>
      </c>
      <c r="G5" s="94">
        <v>0</v>
      </c>
      <c r="H5" s="94">
        <v>1</v>
      </c>
      <c r="I5" s="95">
        <v>0</v>
      </c>
      <c r="J5" s="96">
        <v>0</v>
      </c>
      <c r="K5" s="97">
        <v>0</v>
      </c>
      <c r="L5" s="95">
        <v>0</v>
      </c>
      <c r="M5" s="96">
        <v>0</v>
      </c>
      <c r="N5" s="96">
        <v>0</v>
      </c>
      <c r="O5" s="95">
        <v>0</v>
      </c>
      <c r="P5" s="96">
        <v>0</v>
      </c>
      <c r="Q5" s="96">
        <v>0</v>
      </c>
      <c r="R5" s="95">
        <v>0</v>
      </c>
      <c r="S5" s="96">
        <v>0</v>
      </c>
      <c r="T5" s="96">
        <v>0</v>
      </c>
      <c r="U5" s="95">
        <v>0</v>
      </c>
      <c r="V5" s="96">
        <v>0</v>
      </c>
      <c r="W5" s="96">
        <v>0</v>
      </c>
      <c r="X5" s="95">
        <v>0</v>
      </c>
      <c r="Y5" s="96">
        <v>0</v>
      </c>
      <c r="Z5" s="96">
        <v>0</v>
      </c>
      <c r="AA5" s="95">
        <v>0</v>
      </c>
      <c r="AB5" s="98">
        <v>0</v>
      </c>
      <c r="AC5" s="98">
        <v>0</v>
      </c>
      <c r="AD5" s="98">
        <v>0</v>
      </c>
      <c r="AE5" s="98">
        <v>0</v>
      </c>
      <c r="AF5" s="99">
        <v>0</v>
      </c>
      <c r="AG5" s="95">
        <v>0</v>
      </c>
      <c r="AH5" s="98">
        <v>0</v>
      </c>
      <c r="AI5" s="98">
        <v>0</v>
      </c>
      <c r="AJ5" s="98">
        <v>0</v>
      </c>
      <c r="AK5" s="98">
        <v>0</v>
      </c>
      <c r="AL5" s="99">
        <v>0</v>
      </c>
      <c r="AM5" s="95">
        <v>0</v>
      </c>
      <c r="AN5" s="98">
        <v>0</v>
      </c>
      <c r="AO5" s="98">
        <v>0</v>
      </c>
      <c r="AP5" s="98">
        <v>0</v>
      </c>
      <c r="AQ5" s="98">
        <v>0</v>
      </c>
      <c r="AR5" s="99">
        <v>0</v>
      </c>
      <c r="AS5" s="100">
        <v>0</v>
      </c>
      <c r="AT5" s="101">
        <v>0</v>
      </c>
      <c r="AU5" s="102">
        <v>0</v>
      </c>
      <c r="AV5" s="103">
        <v>0</v>
      </c>
      <c r="AW5" s="104">
        <v>0</v>
      </c>
      <c r="AX5" s="104">
        <v>0</v>
      </c>
      <c r="AY5" s="105">
        <v>0</v>
      </c>
      <c r="AZ5" s="103">
        <v>0</v>
      </c>
      <c r="BA5" s="104">
        <v>0</v>
      </c>
      <c r="BB5" s="104">
        <v>0</v>
      </c>
      <c r="BC5" s="105">
        <v>0</v>
      </c>
      <c r="BD5" s="103">
        <v>0</v>
      </c>
      <c r="BE5" s="104">
        <v>0</v>
      </c>
      <c r="BF5" s="104">
        <v>0</v>
      </c>
      <c r="BG5" s="105">
        <v>0</v>
      </c>
      <c r="BH5" s="64">
        <f>F5-D5</f>
        <v>0</v>
      </c>
      <c r="BI5" s="106">
        <f>(E5-F5)-(C5-D5)</f>
        <v>0</v>
      </c>
    </row>
    <row r="6" spans="2:77">
      <c r="B6" s="89" t="s">
        <v>245</v>
      </c>
      <c r="C6" s="90">
        <f>'[1]LEA - Summary GASB75'!H6</f>
        <v>558158</v>
      </c>
      <c r="D6" s="91">
        <f t="shared" ref="D6:D69" si="0">C6*G6</f>
        <v>192162.07808199999</v>
      </c>
      <c r="E6" s="92">
        <v>522318</v>
      </c>
      <c r="F6" s="93">
        <v>179823</v>
      </c>
      <c r="G6" s="94">
        <v>0.344279</v>
      </c>
      <c r="H6" s="94">
        <v>0.655721</v>
      </c>
      <c r="I6" s="100">
        <v>522318</v>
      </c>
      <c r="J6" s="101">
        <v>179823</v>
      </c>
      <c r="K6" s="102">
        <v>342495</v>
      </c>
      <c r="L6" s="100">
        <v>46861</v>
      </c>
      <c r="M6" s="101">
        <v>16133</v>
      </c>
      <c r="N6" s="102">
        <v>30728</v>
      </c>
      <c r="O6" s="100">
        <v>0</v>
      </c>
      <c r="P6" s="101">
        <v>0</v>
      </c>
      <c r="Q6" s="102">
        <v>0</v>
      </c>
      <c r="R6" s="100">
        <v>0</v>
      </c>
      <c r="S6" s="101">
        <v>0</v>
      </c>
      <c r="T6" s="102">
        <v>0</v>
      </c>
      <c r="U6" s="100">
        <v>0</v>
      </c>
      <c r="V6" s="101">
        <v>0</v>
      </c>
      <c r="W6" s="102">
        <v>0</v>
      </c>
      <c r="X6" s="100">
        <v>25195</v>
      </c>
      <c r="Y6" s="101">
        <v>8674</v>
      </c>
      <c r="Z6" s="102">
        <v>16521</v>
      </c>
      <c r="AA6" s="100">
        <v>-2571</v>
      </c>
      <c r="AB6" s="98">
        <v>-2571</v>
      </c>
      <c r="AC6" s="98">
        <v>-2571</v>
      </c>
      <c r="AD6" s="98">
        <v>-2571</v>
      </c>
      <c r="AE6" s="98">
        <v>-2571</v>
      </c>
      <c r="AF6" s="99">
        <v>-12340</v>
      </c>
      <c r="AG6" s="100">
        <v>-885.14130899999998</v>
      </c>
      <c r="AH6" s="98">
        <v>-885.14130899999998</v>
      </c>
      <c r="AI6" s="98">
        <v>-885.14130899999998</v>
      </c>
      <c r="AJ6" s="98">
        <v>-885.14130899999998</v>
      </c>
      <c r="AK6" s="98">
        <v>-885.14130899999998</v>
      </c>
      <c r="AL6" s="99">
        <v>-4248.4028600000001</v>
      </c>
      <c r="AM6" s="100">
        <v>-1685.8586909999999</v>
      </c>
      <c r="AN6" s="98">
        <v>-1685.8586909999999</v>
      </c>
      <c r="AO6" s="98">
        <v>-1685.8586909999999</v>
      </c>
      <c r="AP6" s="98">
        <v>-1685.8586909999999</v>
      </c>
      <c r="AQ6" s="98">
        <v>-1685.8586909999999</v>
      </c>
      <c r="AR6" s="99">
        <v>-8091.5971399999999</v>
      </c>
      <c r="AS6" s="100">
        <v>-53420</v>
      </c>
      <c r="AT6" s="101">
        <v>-19261</v>
      </c>
      <c r="AU6" s="102">
        <v>-34159</v>
      </c>
      <c r="AV6" s="103">
        <v>566200</v>
      </c>
      <c r="AW6" s="104">
        <v>481674</v>
      </c>
      <c r="AX6" s="104">
        <v>457077</v>
      </c>
      <c r="AY6" s="105">
        <v>603173</v>
      </c>
      <c r="AZ6" s="103">
        <v>194931</v>
      </c>
      <c r="BA6" s="104">
        <v>165830</v>
      </c>
      <c r="BB6" s="104">
        <v>157362</v>
      </c>
      <c r="BC6" s="105">
        <v>207660</v>
      </c>
      <c r="BD6" s="103">
        <v>371269</v>
      </c>
      <c r="BE6" s="104">
        <v>315844</v>
      </c>
      <c r="BF6" s="104">
        <v>299715</v>
      </c>
      <c r="BG6" s="105">
        <v>395513</v>
      </c>
      <c r="BH6" s="64">
        <f t="shared" ref="BH6:BH69" si="1">F6-D6</f>
        <v>-12339.078081999993</v>
      </c>
      <c r="BI6" s="106">
        <f t="shared" ref="BI6:BI69" si="2">(E6-F6)-(C6-D6)</f>
        <v>-23500.921917999978</v>
      </c>
    </row>
    <row r="7" spans="2:77">
      <c r="B7" s="89" t="s">
        <v>246</v>
      </c>
      <c r="C7" s="90">
        <f>'[1]LEA - Summary GASB75'!H7</f>
        <v>6248997</v>
      </c>
      <c r="D7" s="91">
        <f t="shared" si="0"/>
        <v>1637637.1498080001</v>
      </c>
      <c r="E7" s="92">
        <v>6233201</v>
      </c>
      <c r="F7" s="93">
        <v>1633497</v>
      </c>
      <c r="G7" s="94">
        <v>0.26206400000000002</v>
      </c>
      <c r="H7" s="94">
        <v>0.73793599999999993</v>
      </c>
      <c r="I7" s="100">
        <v>6233201</v>
      </c>
      <c r="J7" s="101">
        <v>1633498</v>
      </c>
      <c r="K7" s="102">
        <v>4599703</v>
      </c>
      <c r="L7" s="100">
        <v>519402</v>
      </c>
      <c r="M7" s="101">
        <v>136117</v>
      </c>
      <c r="N7" s="101">
        <v>383285</v>
      </c>
      <c r="O7" s="100">
        <v>0</v>
      </c>
      <c r="P7" s="101">
        <v>0</v>
      </c>
      <c r="Q7" s="101">
        <v>0</v>
      </c>
      <c r="R7" s="100">
        <v>0</v>
      </c>
      <c r="S7" s="101">
        <v>0</v>
      </c>
      <c r="T7" s="101">
        <v>0</v>
      </c>
      <c r="U7" s="100">
        <v>0</v>
      </c>
      <c r="V7" s="101">
        <v>0</v>
      </c>
      <c r="W7" s="101">
        <v>0</v>
      </c>
      <c r="X7" s="100">
        <v>264392</v>
      </c>
      <c r="Y7" s="101">
        <v>69288</v>
      </c>
      <c r="Z7" s="101">
        <v>195104</v>
      </c>
      <c r="AA7" s="107">
        <v>-28738</v>
      </c>
      <c r="AB7" s="98">
        <v>-28738</v>
      </c>
      <c r="AC7" s="98">
        <v>-28738</v>
      </c>
      <c r="AD7" s="98">
        <v>-28738</v>
      </c>
      <c r="AE7" s="98">
        <v>-28738</v>
      </c>
      <c r="AF7" s="99">
        <v>-120702</v>
      </c>
      <c r="AG7" s="107">
        <v>-7531.1952320000009</v>
      </c>
      <c r="AH7" s="98">
        <v>-7531.1952320000009</v>
      </c>
      <c r="AI7" s="98">
        <v>-7531.1952320000009</v>
      </c>
      <c r="AJ7" s="98">
        <v>-7531.1952320000009</v>
      </c>
      <c r="AK7" s="98">
        <v>-7531.1952320000009</v>
      </c>
      <c r="AL7" s="99">
        <v>-31631.648928000002</v>
      </c>
      <c r="AM7" s="107">
        <v>-21206.804767999998</v>
      </c>
      <c r="AN7" s="98">
        <v>-21206.804767999998</v>
      </c>
      <c r="AO7" s="98">
        <v>-21206.804767999998</v>
      </c>
      <c r="AP7" s="98">
        <v>-21206.804767999998</v>
      </c>
      <c r="AQ7" s="98">
        <v>-21206.804767999998</v>
      </c>
      <c r="AR7" s="99">
        <v>-89070.35107199999</v>
      </c>
      <c r="AS7" s="100">
        <v>-294894</v>
      </c>
      <c r="AT7" s="101">
        <v>-76041</v>
      </c>
      <c r="AU7" s="102">
        <v>-218853</v>
      </c>
      <c r="AV7" s="103">
        <v>6694400</v>
      </c>
      <c r="AW7" s="104">
        <v>5792716</v>
      </c>
      <c r="AX7" s="104">
        <v>5506325</v>
      </c>
      <c r="AY7" s="105">
        <v>7095617</v>
      </c>
      <c r="AZ7" s="103">
        <v>1754361</v>
      </c>
      <c r="BA7" s="104">
        <v>1518062</v>
      </c>
      <c r="BB7" s="104">
        <v>1443010</v>
      </c>
      <c r="BC7" s="105">
        <v>1859506</v>
      </c>
      <c r="BD7" s="103">
        <v>4940039</v>
      </c>
      <c r="BE7" s="104">
        <v>4274654</v>
      </c>
      <c r="BF7" s="104">
        <v>4063315</v>
      </c>
      <c r="BG7" s="105">
        <v>5236111</v>
      </c>
      <c r="BH7" s="64">
        <f t="shared" si="1"/>
        <v>-4140.1498080000747</v>
      </c>
      <c r="BI7" s="106">
        <f t="shared" si="2"/>
        <v>-11655.850192000158</v>
      </c>
    </row>
    <row r="8" spans="2:77">
      <c r="B8" s="89" t="s">
        <v>247</v>
      </c>
      <c r="C8" s="90">
        <f>'[1]LEA - Summary GASB75'!H8</f>
        <v>7366981</v>
      </c>
      <c r="D8" s="91">
        <f t="shared" si="0"/>
        <v>2501620.4721319997</v>
      </c>
      <c r="E8" s="92">
        <v>7118304</v>
      </c>
      <c r="F8" s="93">
        <v>2417174</v>
      </c>
      <c r="G8" s="94">
        <v>0.33957199999999998</v>
      </c>
      <c r="H8" s="94">
        <v>0.66042800000000002</v>
      </c>
      <c r="I8" s="100">
        <v>7118304</v>
      </c>
      <c r="J8" s="101">
        <v>2417177</v>
      </c>
      <c r="K8" s="102">
        <v>4701127</v>
      </c>
      <c r="L8" s="100">
        <v>589552</v>
      </c>
      <c r="M8" s="101">
        <v>200195</v>
      </c>
      <c r="N8" s="101">
        <v>389357</v>
      </c>
      <c r="O8" s="100">
        <v>0</v>
      </c>
      <c r="P8" s="101">
        <v>0</v>
      </c>
      <c r="Q8" s="101">
        <v>0</v>
      </c>
      <c r="R8" s="100">
        <v>0</v>
      </c>
      <c r="S8" s="101">
        <v>0</v>
      </c>
      <c r="T8" s="101">
        <v>0</v>
      </c>
      <c r="U8" s="100">
        <v>0</v>
      </c>
      <c r="V8" s="101">
        <v>0</v>
      </c>
      <c r="W8" s="101">
        <v>0</v>
      </c>
      <c r="X8" s="100">
        <v>294898</v>
      </c>
      <c r="Y8" s="101">
        <v>100139</v>
      </c>
      <c r="Z8" s="101">
        <v>194759</v>
      </c>
      <c r="AA8" s="107">
        <v>-30718</v>
      </c>
      <c r="AB8" s="98">
        <v>-30718</v>
      </c>
      <c r="AC8" s="98">
        <v>-30718</v>
      </c>
      <c r="AD8" s="98">
        <v>-30718</v>
      </c>
      <c r="AE8" s="98">
        <v>-30718</v>
      </c>
      <c r="AF8" s="99">
        <v>-141308</v>
      </c>
      <c r="AG8" s="107">
        <v>-10430.972695999999</v>
      </c>
      <c r="AH8" s="98">
        <v>-10430.972695999999</v>
      </c>
      <c r="AI8" s="98">
        <v>-10430.972695999999</v>
      </c>
      <c r="AJ8" s="98">
        <v>-10430.972695999999</v>
      </c>
      <c r="AK8" s="98">
        <v>-10430.972695999999</v>
      </c>
      <c r="AL8" s="99">
        <v>-47984.240175999999</v>
      </c>
      <c r="AM8" s="107">
        <v>-20287.027304000003</v>
      </c>
      <c r="AN8" s="98">
        <v>-20287.027304000003</v>
      </c>
      <c r="AO8" s="98">
        <v>-20287.027304000003</v>
      </c>
      <c r="AP8" s="98">
        <v>-20287.027304000003</v>
      </c>
      <c r="AQ8" s="98">
        <v>-20287.027304000003</v>
      </c>
      <c r="AR8" s="99">
        <v>-93323.759824000008</v>
      </c>
      <c r="AS8" s="100">
        <v>-572144</v>
      </c>
      <c r="AT8" s="101">
        <v>-211571</v>
      </c>
      <c r="AU8" s="102">
        <v>-360573</v>
      </c>
      <c r="AV8" s="103">
        <v>7632438</v>
      </c>
      <c r="AW8" s="104">
        <v>6632653</v>
      </c>
      <c r="AX8" s="104">
        <v>6346682</v>
      </c>
      <c r="AY8" s="105">
        <v>8042613</v>
      </c>
      <c r="AZ8" s="103">
        <v>2591762</v>
      </c>
      <c r="BA8" s="104">
        <v>2252263</v>
      </c>
      <c r="BB8" s="104">
        <v>2155156</v>
      </c>
      <c r="BC8" s="105">
        <v>2731046</v>
      </c>
      <c r="BD8" s="103">
        <v>5040676</v>
      </c>
      <c r="BE8" s="104">
        <v>4380390</v>
      </c>
      <c r="BF8" s="104">
        <v>4191526</v>
      </c>
      <c r="BG8" s="105">
        <v>5311567</v>
      </c>
      <c r="BH8" s="64">
        <f t="shared" si="1"/>
        <v>-84446.472131999675</v>
      </c>
      <c r="BI8" s="106">
        <f t="shared" si="2"/>
        <v>-164230.52786800079</v>
      </c>
    </row>
    <row r="9" spans="2:77">
      <c r="B9" s="89" t="s">
        <v>248</v>
      </c>
      <c r="C9" s="90">
        <f>'[1]LEA - Summary GASB75'!H9</f>
        <v>2717511</v>
      </c>
      <c r="D9" s="91">
        <f t="shared" si="0"/>
        <v>899498.85851099994</v>
      </c>
      <c r="E9" s="92">
        <v>2637900</v>
      </c>
      <c r="F9" s="93">
        <v>873147</v>
      </c>
      <c r="G9" s="94">
        <v>0.33100099999999999</v>
      </c>
      <c r="H9" s="94">
        <v>0.66899900000000001</v>
      </c>
      <c r="I9" s="100">
        <v>2637900</v>
      </c>
      <c r="J9" s="101">
        <v>873148</v>
      </c>
      <c r="K9" s="102">
        <v>1764752</v>
      </c>
      <c r="L9" s="100">
        <v>219623</v>
      </c>
      <c r="M9" s="101">
        <v>72695</v>
      </c>
      <c r="N9" s="101">
        <v>146928</v>
      </c>
      <c r="O9" s="100">
        <v>0</v>
      </c>
      <c r="P9" s="101">
        <v>0</v>
      </c>
      <c r="Q9" s="101">
        <v>0</v>
      </c>
      <c r="R9" s="100">
        <v>0</v>
      </c>
      <c r="S9" s="101">
        <v>0</v>
      </c>
      <c r="T9" s="101">
        <v>0</v>
      </c>
      <c r="U9" s="100">
        <v>0</v>
      </c>
      <c r="V9" s="101">
        <v>0</v>
      </c>
      <c r="W9" s="101">
        <v>0</v>
      </c>
      <c r="X9" s="100">
        <v>112051</v>
      </c>
      <c r="Y9" s="101">
        <v>37089</v>
      </c>
      <c r="Z9" s="101">
        <v>74962</v>
      </c>
      <c r="AA9" s="107">
        <v>-12048</v>
      </c>
      <c r="AB9" s="98">
        <v>-12048</v>
      </c>
      <c r="AC9" s="98">
        <v>-12048</v>
      </c>
      <c r="AD9" s="98">
        <v>-12048</v>
      </c>
      <c r="AE9" s="98">
        <v>-12048</v>
      </c>
      <c r="AF9" s="99">
        <v>-51811</v>
      </c>
      <c r="AG9" s="107">
        <v>-3987.900048</v>
      </c>
      <c r="AH9" s="98">
        <v>-3987.900048</v>
      </c>
      <c r="AI9" s="98">
        <v>-3987.900048</v>
      </c>
      <c r="AJ9" s="98">
        <v>-3987.900048</v>
      </c>
      <c r="AK9" s="98">
        <v>-3987.900048</v>
      </c>
      <c r="AL9" s="99">
        <v>-17149.492811</v>
      </c>
      <c r="AM9" s="107">
        <v>-8060.0999520000005</v>
      </c>
      <c r="AN9" s="98">
        <v>-8060.0999520000005</v>
      </c>
      <c r="AO9" s="98">
        <v>-8060.0999520000005</v>
      </c>
      <c r="AP9" s="98">
        <v>-8060.0999520000005</v>
      </c>
      <c r="AQ9" s="98">
        <v>-8060.0999520000005</v>
      </c>
      <c r="AR9" s="99">
        <v>-34661.507188999996</v>
      </c>
      <c r="AS9" s="100">
        <v>-196195</v>
      </c>
      <c r="AT9" s="101">
        <v>-63931</v>
      </c>
      <c r="AU9" s="102">
        <v>-132264</v>
      </c>
      <c r="AV9" s="103">
        <v>2833417</v>
      </c>
      <c r="AW9" s="104">
        <v>2452976</v>
      </c>
      <c r="AX9" s="104">
        <v>2342607</v>
      </c>
      <c r="AY9" s="105">
        <v>2992801</v>
      </c>
      <c r="AZ9" s="103">
        <v>937864</v>
      </c>
      <c r="BA9" s="104">
        <v>811938</v>
      </c>
      <c r="BB9" s="104">
        <v>775405</v>
      </c>
      <c r="BC9" s="105">
        <v>990620</v>
      </c>
      <c r="BD9" s="103">
        <v>1895553</v>
      </c>
      <c r="BE9" s="104">
        <v>1641038</v>
      </c>
      <c r="BF9" s="104">
        <v>1567202</v>
      </c>
      <c r="BG9" s="105">
        <v>2002181</v>
      </c>
      <c r="BH9" s="64">
        <f t="shared" si="1"/>
        <v>-26351.85851099994</v>
      </c>
      <c r="BI9" s="106">
        <f t="shared" si="2"/>
        <v>-53259.14148900006</v>
      </c>
    </row>
    <row r="10" spans="2:77">
      <c r="B10" s="89" t="s">
        <v>249</v>
      </c>
      <c r="C10" s="90">
        <f>'[1]LEA - Summary GASB75'!H10</f>
        <v>7909328</v>
      </c>
      <c r="D10" s="91">
        <f t="shared" si="0"/>
        <v>2809654.3134240001</v>
      </c>
      <c r="E10" s="92">
        <v>7990972</v>
      </c>
      <c r="F10" s="93">
        <v>2838657</v>
      </c>
      <c r="G10" s="94">
        <v>0.35523300000000002</v>
      </c>
      <c r="H10" s="94">
        <v>0.64476699999999998</v>
      </c>
      <c r="I10" s="100">
        <v>7990972</v>
      </c>
      <c r="J10" s="101">
        <v>2838657</v>
      </c>
      <c r="K10" s="102">
        <v>5152315</v>
      </c>
      <c r="L10" s="100">
        <v>717605</v>
      </c>
      <c r="M10" s="101">
        <v>254917</v>
      </c>
      <c r="N10" s="101">
        <v>462688</v>
      </c>
      <c r="O10" s="100">
        <v>0</v>
      </c>
      <c r="P10" s="101">
        <v>0</v>
      </c>
      <c r="Q10" s="101">
        <v>0</v>
      </c>
      <c r="R10" s="100">
        <v>0</v>
      </c>
      <c r="S10" s="101">
        <v>0</v>
      </c>
      <c r="T10" s="101">
        <v>0</v>
      </c>
      <c r="U10" s="100">
        <v>0</v>
      </c>
      <c r="V10" s="101">
        <v>0</v>
      </c>
      <c r="W10" s="101">
        <v>0</v>
      </c>
      <c r="X10" s="100">
        <v>369123</v>
      </c>
      <c r="Y10" s="101">
        <v>131125</v>
      </c>
      <c r="Z10" s="101">
        <v>237998</v>
      </c>
      <c r="AA10" s="107">
        <v>-37666</v>
      </c>
      <c r="AB10" s="98">
        <v>-37666</v>
      </c>
      <c r="AC10" s="98">
        <v>-37666</v>
      </c>
      <c r="AD10" s="98">
        <v>-37666</v>
      </c>
      <c r="AE10" s="98">
        <v>-37666</v>
      </c>
      <c r="AF10" s="99">
        <v>-180793</v>
      </c>
      <c r="AG10" s="107">
        <v>-13380.206178</v>
      </c>
      <c r="AH10" s="98">
        <v>-13380.206178</v>
      </c>
      <c r="AI10" s="98">
        <v>-13380.206178</v>
      </c>
      <c r="AJ10" s="98">
        <v>-13380.206178</v>
      </c>
      <c r="AK10" s="98">
        <v>-13380.206178</v>
      </c>
      <c r="AL10" s="99">
        <v>-64223.639769000001</v>
      </c>
      <c r="AM10" s="107">
        <v>-24285.793822</v>
      </c>
      <c r="AN10" s="98">
        <v>-24285.793822</v>
      </c>
      <c r="AO10" s="98">
        <v>-24285.793822</v>
      </c>
      <c r="AP10" s="98">
        <v>-24285.793822</v>
      </c>
      <c r="AQ10" s="98">
        <v>-24285.793822</v>
      </c>
      <c r="AR10" s="99">
        <v>-116569.360231</v>
      </c>
      <c r="AS10" s="100">
        <v>-292668</v>
      </c>
      <c r="AT10" s="101">
        <v>-106936</v>
      </c>
      <c r="AU10" s="102">
        <v>-185732</v>
      </c>
      <c r="AV10" s="103">
        <v>8631433</v>
      </c>
      <c r="AW10" s="104">
        <v>7384372</v>
      </c>
      <c r="AX10" s="104">
        <v>6997619</v>
      </c>
      <c r="AY10" s="105">
        <v>9179676</v>
      </c>
      <c r="AZ10" s="103">
        <v>3066170</v>
      </c>
      <c r="BA10" s="104">
        <v>2623173</v>
      </c>
      <c r="BB10" s="104">
        <v>2485785</v>
      </c>
      <c r="BC10" s="105">
        <v>3260924</v>
      </c>
      <c r="BD10" s="103">
        <v>5565263</v>
      </c>
      <c r="BE10" s="104">
        <v>4761199</v>
      </c>
      <c r="BF10" s="104">
        <v>4511834</v>
      </c>
      <c r="BG10" s="105">
        <v>5918752</v>
      </c>
      <c r="BH10" s="64">
        <f t="shared" si="1"/>
        <v>29002.686575999949</v>
      </c>
      <c r="BI10" s="106">
        <f t="shared" si="2"/>
        <v>52641.313424000517</v>
      </c>
    </row>
    <row r="11" spans="2:77">
      <c r="B11" s="89" t="s">
        <v>250</v>
      </c>
      <c r="C11" s="90">
        <f>'[1]LEA - Summary GASB75'!H11</f>
        <v>633894</v>
      </c>
      <c r="D11" s="91">
        <f t="shared" si="0"/>
        <v>180762.48082800003</v>
      </c>
      <c r="E11" s="92">
        <v>622051</v>
      </c>
      <c r="F11" s="93">
        <v>177385</v>
      </c>
      <c r="G11" s="94">
        <v>0.28516200000000003</v>
      </c>
      <c r="H11" s="94">
        <v>0.71483799999999997</v>
      </c>
      <c r="I11" s="100">
        <v>622051</v>
      </c>
      <c r="J11" s="101">
        <v>177385</v>
      </c>
      <c r="K11" s="102">
        <v>444666</v>
      </c>
      <c r="L11" s="100">
        <v>41006</v>
      </c>
      <c r="M11" s="101">
        <v>11693</v>
      </c>
      <c r="N11" s="101">
        <v>29313</v>
      </c>
      <c r="O11" s="100">
        <v>0</v>
      </c>
      <c r="P11" s="101">
        <v>0</v>
      </c>
      <c r="Q11" s="101">
        <v>0</v>
      </c>
      <c r="R11" s="100">
        <v>0</v>
      </c>
      <c r="S11" s="101">
        <v>0</v>
      </c>
      <c r="T11" s="101">
        <v>0</v>
      </c>
      <c r="U11" s="100">
        <v>0</v>
      </c>
      <c r="V11" s="101">
        <v>0</v>
      </c>
      <c r="W11" s="101">
        <v>0</v>
      </c>
      <c r="X11" s="100">
        <v>25656</v>
      </c>
      <c r="Y11" s="101">
        <v>7316</v>
      </c>
      <c r="Z11" s="101">
        <v>18340</v>
      </c>
      <c r="AA11" s="107">
        <v>-2618</v>
      </c>
      <c r="AB11" s="98">
        <v>-2618</v>
      </c>
      <c r="AC11" s="98">
        <v>-2618</v>
      </c>
      <c r="AD11" s="98">
        <v>-2618</v>
      </c>
      <c r="AE11" s="98">
        <v>-2618</v>
      </c>
      <c r="AF11" s="99">
        <v>-12566</v>
      </c>
      <c r="AG11" s="107">
        <v>-746.55411600000002</v>
      </c>
      <c r="AH11" s="98">
        <v>-746.55411600000002</v>
      </c>
      <c r="AI11" s="98">
        <v>-746.55411600000002</v>
      </c>
      <c r="AJ11" s="98">
        <v>-746.55411600000002</v>
      </c>
      <c r="AK11" s="98">
        <v>-746.55411600000002</v>
      </c>
      <c r="AL11" s="99">
        <v>-3583.3456920000003</v>
      </c>
      <c r="AM11" s="107">
        <v>-1871.445884</v>
      </c>
      <c r="AN11" s="98">
        <v>-1871.445884</v>
      </c>
      <c r="AO11" s="98">
        <v>-1871.445884</v>
      </c>
      <c r="AP11" s="98">
        <v>-1871.445884</v>
      </c>
      <c r="AQ11" s="98">
        <v>-1871.445884</v>
      </c>
      <c r="AR11" s="99">
        <v>-8982.6543079999992</v>
      </c>
      <c r="AS11" s="100">
        <v>-27906</v>
      </c>
      <c r="AT11" s="101">
        <v>-7618</v>
      </c>
      <c r="AU11" s="102">
        <v>-20288</v>
      </c>
      <c r="AV11" s="103">
        <v>666843</v>
      </c>
      <c r="AW11" s="104">
        <v>580407</v>
      </c>
      <c r="AX11" s="104">
        <v>561985</v>
      </c>
      <c r="AY11" s="105">
        <v>692123</v>
      </c>
      <c r="AZ11" s="103">
        <v>190158</v>
      </c>
      <c r="BA11" s="104">
        <v>165510</v>
      </c>
      <c r="BB11" s="104">
        <v>160257</v>
      </c>
      <c r="BC11" s="105">
        <v>197367</v>
      </c>
      <c r="BD11" s="103">
        <v>476685</v>
      </c>
      <c r="BE11" s="104">
        <v>414897</v>
      </c>
      <c r="BF11" s="104">
        <v>401728</v>
      </c>
      <c r="BG11" s="105">
        <v>494756</v>
      </c>
      <c r="BH11" s="64">
        <f t="shared" si="1"/>
        <v>-3377.4808280000289</v>
      </c>
      <c r="BI11" s="106">
        <f t="shared" si="2"/>
        <v>-8465.5191720000003</v>
      </c>
    </row>
    <row r="12" spans="2:77">
      <c r="B12" s="89" t="s">
        <v>251</v>
      </c>
      <c r="C12" s="90">
        <f>'[1]LEA - Summary GASB75'!H12</f>
        <v>2581966</v>
      </c>
      <c r="D12" s="91">
        <f t="shared" si="0"/>
        <v>884328.51893199992</v>
      </c>
      <c r="E12" s="92">
        <v>2643616</v>
      </c>
      <c r="F12" s="93">
        <v>905443</v>
      </c>
      <c r="G12" s="94">
        <v>0.34250199999999997</v>
      </c>
      <c r="H12" s="94">
        <v>0.65749800000000003</v>
      </c>
      <c r="I12" s="100">
        <v>2643616</v>
      </c>
      <c r="J12" s="101">
        <v>905444</v>
      </c>
      <c r="K12" s="102">
        <v>1738172</v>
      </c>
      <c r="L12" s="100">
        <v>248110</v>
      </c>
      <c r="M12" s="101">
        <v>84978</v>
      </c>
      <c r="N12" s="101">
        <v>163132</v>
      </c>
      <c r="O12" s="100">
        <v>0</v>
      </c>
      <c r="P12" s="101">
        <v>0</v>
      </c>
      <c r="Q12" s="101">
        <v>0</v>
      </c>
      <c r="R12" s="100">
        <v>0</v>
      </c>
      <c r="S12" s="101">
        <v>0</v>
      </c>
      <c r="T12" s="101">
        <v>0</v>
      </c>
      <c r="U12" s="100">
        <v>0</v>
      </c>
      <c r="V12" s="101">
        <v>0</v>
      </c>
      <c r="W12" s="101">
        <v>0</v>
      </c>
      <c r="X12" s="100">
        <v>117795</v>
      </c>
      <c r="Y12" s="101">
        <v>40345</v>
      </c>
      <c r="Z12" s="101">
        <v>77450</v>
      </c>
      <c r="AA12" s="107">
        <v>-12666</v>
      </c>
      <c r="AB12" s="98">
        <v>-12666</v>
      </c>
      <c r="AC12" s="98">
        <v>-12666</v>
      </c>
      <c r="AD12" s="98">
        <v>-12666</v>
      </c>
      <c r="AE12" s="98">
        <v>-12666</v>
      </c>
      <c r="AF12" s="99">
        <v>-54465</v>
      </c>
      <c r="AG12" s="107">
        <v>-4338.1303319999997</v>
      </c>
      <c r="AH12" s="98">
        <v>-4338.1303319999997</v>
      </c>
      <c r="AI12" s="98">
        <v>-4338.1303319999997</v>
      </c>
      <c r="AJ12" s="98">
        <v>-4338.1303319999997</v>
      </c>
      <c r="AK12" s="98">
        <v>-4338.1303319999997</v>
      </c>
      <c r="AL12" s="99">
        <v>-18654.371429999999</v>
      </c>
      <c r="AM12" s="107">
        <v>-8327.8696679999994</v>
      </c>
      <c r="AN12" s="98">
        <v>-8327.8696679999994</v>
      </c>
      <c r="AO12" s="98">
        <v>-8327.8696679999994</v>
      </c>
      <c r="AP12" s="98">
        <v>-8327.8696679999994</v>
      </c>
      <c r="AQ12" s="98">
        <v>-8327.8696679999994</v>
      </c>
      <c r="AR12" s="99">
        <v>-35810.628570000001</v>
      </c>
      <c r="AS12" s="100">
        <v>-88919</v>
      </c>
      <c r="AT12" s="101">
        <v>-29656</v>
      </c>
      <c r="AU12" s="102">
        <v>-59263</v>
      </c>
      <c r="AV12" s="103">
        <v>2848565</v>
      </c>
      <c r="AW12" s="104">
        <v>2446893</v>
      </c>
      <c r="AX12" s="104">
        <v>2310343</v>
      </c>
      <c r="AY12" s="105">
        <v>3039832</v>
      </c>
      <c r="AZ12" s="103">
        <v>975639</v>
      </c>
      <c r="BA12" s="104">
        <v>838066</v>
      </c>
      <c r="BB12" s="104">
        <v>791297</v>
      </c>
      <c r="BC12" s="105">
        <v>1041149</v>
      </c>
      <c r="BD12" s="103">
        <v>1872926</v>
      </c>
      <c r="BE12" s="104">
        <v>1608827</v>
      </c>
      <c r="BF12" s="104">
        <v>1519046</v>
      </c>
      <c r="BG12" s="105">
        <v>1998683</v>
      </c>
      <c r="BH12" s="64">
        <f t="shared" si="1"/>
        <v>21114.481068000081</v>
      </c>
      <c r="BI12" s="106">
        <f t="shared" si="2"/>
        <v>40535.518931999803</v>
      </c>
    </row>
    <row r="13" spans="2:77">
      <c r="B13" s="89" t="s">
        <v>252</v>
      </c>
      <c r="C13" s="90">
        <f>'[1]LEA - Summary GASB75'!H13</f>
        <v>2103165</v>
      </c>
      <c r="D13" s="91">
        <f t="shared" si="0"/>
        <v>739924.99447499996</v>
      </c>
      <c r="E13" s="92">
        <v>2110644</v>
      </c>
      <c r="F13" s="93">
        <v>742557</v>
      </c>
      <c r="G13" s="94">
        <v>0.35181499999999999</v>
      </c>
      <c r="H13" s="94">
        <v>0.64818500000000001</v>
      </c>
      <c r="I13" s="100">
        <v>2110644</v>
      </c>
      <c r="J13" s="101">
        <v>742556</v>
      </c>
      <c r="K13" s="102">
        <v>1368088</v>
      </c>
      <c r="L13" s="100">
        <v>170495</v>
      </c>
      <c r="M13" s="101">
        <v>59983</v>
      </c>
      <c r="N13" s="101">
        <v>110512</v>
      </c>
      <c r="O13" s="100">
        <v>0</v>
      </c>
      <c r="P13" s="101">
        <v>0</v>
      </c>
      <c r="Q13" s="101">
        <v>0</v>
      </c>
      <c r="R13" s="100">
        <v>0</v>
      </c>
      <c r="S13" s="101">
        <v>0</v>
      </c>
      <c r="T13" s="101">
        <v>0</v>
      </c>
      <c r="U13" s="100">
        <v>0</v>
      </c>
      <c r="V13" s="101">
        <v>0</v>
      </c>
      <c r="W13" s="101">
        <v>0</v>
      </c>
      <c r="X13" s="100">
        <v>92718</v>
      </c>
      <c r="Y13" s="101">
        <v>32620</v>
      </c>
      <c r="Z13" s="101">
        <v>60098</v>
      </c>
      <c r="AA13" s="107">
        <v>-10536</v>
      </c>
      <c r="AB13" s="98">
        <v>-10536</v>
      </c>
      <c r="AC13" s="98">
        <v>-10536</v>
      </c>
      <c r="AD13" s="98">
        <v>-10536</v>
      </c>
      <c r="AE13" s="98">
        <v>-10536</v>
      </c>
      <c r="AF13" s="99">
        <v>-40038</v>
      </c>
      <c r="AG13" s="107">
        <v>-3706.7228399999999</v>
      </c>
      <c r="AH13" s="98">
        <v>-3706.7228399999999</v>
      </c>
      <c r="AI13" s="98">
        <v>-3706.7228399999999</v>
      </c>
      <c r="AJ13" s="98">
        <v>-3706.7228399999999</v>
      </c>
      <c r="AK13" s="98">
        <v>-3706.7228399999999</v>
      </c>
      <c r="AL13" s="99">
        <v>-14085.96897</v>
      </c>
      <c r="AM13" s="107">
        <v>-6829.2771599999996</v>
      </c>
      <c r="AN13" s="98">
        <v>-6829.2771599999996</v>
      </c>
      <c r="AO13" s="98">
        <v>-6829.2771599999996</v>
      </c>
      <c r="AP13" s="98">
        <v>-6829.2771599999996</v>
      </c>
      <c r="AQ13" s="98">
        <v>-6829.2771599999996</v>
      </c>
      <c r="AR13" s="99">
        <v>-25952.031029999998</v>
      </c>
      <c r="AS13" s="100">
        <v>-84561</v>
      </c>
      <c r="AT13" s="101">
        <v>-31896</v>
      </c>
      <c r="AU13" s="102">
        <v>-52665</v>
      </c>
      <c r="AV13" s="103">
        <v>2273603</v>
      </c>
      <c r="AW13" s="104">
        <v>1956399</v>
      </c>
      <c r="AX13" s="104">
        <v>1866816</v>
      </c>
      <c r="AY13" s="105">
        <v>2399247</v>
      </c>
      <c r="AZ13" s="103">
        <v>799888</v>
      </c>
      <c r="BA13" s="104">
        <v>688291</v>
      </c>
      <c r="BB13" s="104">
        <v>656774</v>
      </c>
      <c r="BC13" s="105">
        <v>844091</v>
      </c>
      <c r="BD13" s="103">
        <v>1473715</v>
      </c>
      <c r="BE13" s="104">
        <v>1268108</v>
      </c>
      <c r="BF13" s="104">
        <v>1210042</v>
      </c>
      <c r="BG13" s="105">
        <v>1555156</v>
      </c>
      <c r="BH13" s="64">
        <f t="shared" si="1"/>
        <v>2632.0055250000441</v>
      </c>
      <c r="BI13" s="106">
        <f t="shared" si="2"/>
        <v>4846.9944750000723</v>
      </c>
    </row>
    <row r="14" spans="2:77">
      <c r="B14" s="89" t="s">
        <v>253</v>
      </c>
      <c r="C14" s="90">
        <f>'[1]LEA - Summary GASB75'!H14</f>
        <v>611302</v>
      </c>
      <c r="D14" s="91">
        <f t="shared" si="0"/>
        <v>218847.94990600002</v>
      </c>
      <c r="E14" s="92">
        <v>610495</v>
      </c>
      <c r="F14" s="93">
        <v>218559</v>
      </c>
      <c r="G14" s="94">
        <v>0.35800300000000002</v>
      </c>
      <c r="H14" s="94">
        <v>0.64199699999999993</v>
      </c>
      <c r="I14" s="100">
        <v>610495</v>
      </c>
      <c r="J14" s="101">
        <v>218559</v>
      </c>
      <c r="K14" s="102">
        <v>391936</v>
      </c>
      <c r="L14" s="100">
        <v>55787</v>
      </c>
      <c r="M14" s="101">
        <v>19972</v>
      </c>
      <c r="N14" s="101">
        <v>35815</v>
      </c>
      <c r="O14" s="100">
        <v>0</v>
      </c>
      <c r="P14" s="101">
        <v>0</v>
      </c>
      <c r="Q14" s="101">
        <v>0</v>
      </c>
      <c r="R14" s="100">
        <v>0</v>
      </c>
      <c r="S14" s="101">
        <v>0</v>
      </c>
      <c r="T14" s="101">
        <v>0</v>
      </c>
      <c r="U14" s="100">
        <v>0</v>
      </c>
      <c r="V14" s="101">
        <v>0</v>
      </c>
      <c r="W14" s="101">
        <v>0</v>
      </c>
      <c r="X14" s="100">
        <v>31435</v>
      </c>
      <c r="Y14" s="101">
        <v>11254</v>
      </c>
      <c r="Z14" s="101">
        <v>20181</v>
      </c>
      <c r="AA14" s="107">
        <v>-3208</v>
      </c>
      <c r="AB14" s="98">
        <v>-3208</v>
      </c>
      <c r="AC14" s="98">
        <v>-3208</v>
      </c>
      <c r="AD14" s="98">
        <v>-3208</v>
      </c>
      <c r="AE14" s="98">
        <v>-3208</v>
      </c>
      <c r="AF14" s="99">
        <v>-15395</v>
      </c>
      <c r="AG14" s="107">
        <v>-1148.473624</v>
      </c>
      <c r="AH14" s="98">
        <v>-1148.473624</v>
      </c>
      <c r="AI14" s="98">
        <v>-1148.473624</v>
      </c>
      <c r="AJ14" s="98">
        <v>-1148.473624</v>
      </c>
      <c r="AK14" s="98">
        <v>-1148.473624</v>
      </c>
      <c r="AL14" s="99">
        <v>-5511.456185</v>
      </c>
      <c r="AM14" s="107">
        <v>-2059.5263759999998</v>
      </c>
      <c r="AN14" s="98">
        <v>-2059.5263759999998</v>
      </c>
      <c r="AO14" s="98">
        <v>-2059.5263759999998</v>
      </c>
      <c r="AP14" s="98">
        <v>-2059.5263759999998</v>
      </c>
      <c r="AQ14" s="98">
        <v>-2059.5263759999998</v>
      </c>
      <c r="AR14" s="99">
        <v>-9883.5438150000009</v>
      </c>
      <c r="AS14" s="100">
        <v>-24890</v>
      </c>
      <c r="AT14" s="101">
        <v>-8739</v>
      </c>
      <c r="AU14" s="102">
        <v>-16151</v>
      </c>
      <c r="AV14" s="103">
        <v>665156</v>
      </c>
      <c r="AW14" s="104">
        <v>558673</v>
      </c>
      <c r="AX14" s="104">
        <v>524874</v>
      </c>
      <c r="AY14" s="105">
        <v>714391</v>
      </c>
      <c r="AZ14" s="103">
        <v>238128</v>
      </c>
      <c r="BA14" s="104">
        <v>200007</v>
      </c>
      <c r="BB14" s="104">
        <v>187906</v>
      </c>
      <c r="BC14" s="105">
        <v>255754</v>
      </c>
      <c r="BD14" s="103">
        <v>427028</v>
      </c>
      <c r="BE14" s="104">
        <v>358666</v>
      </c>
      <c r="BF14" s="104">
        <v>336968</v>
      </c>
      <c r="BG14" s="105">
        <v>458637</v>
      </c>
      <c r="BH14" s="64">
        <f t="shared" si="1"/>
        <v>-288.94990600002347</v>
      </c>
      <c r="BI14" s="106">
        <f t="shared" si="2"/>
        <v>-518.05009399994742</v>
      </c>
    </row>
    <row r="15" spans="2:77">
      <c r="B15" s="89" t="s">
        <v>254</v>
      </c>
      <c r="C15" s="90">
        <f>'[1]LEA - Summary GASB75'!H15</f>
        <v>19173855</v>
      </c>
      <c r="D15" s="91">
        <f t="shared" si="0"/>
        <v>6113794.5791549999</v>
      </c>
      <c r="E15" s="92">
        <v>19377361</v>
      </c>
      <c r="F15" s="93">
        <v>6178694</v>
      </c>
      <c r="G15" s="94">
        <v>0.31886100000000001</v>
      </c>
      <c r="H15" s="94">
        <v>0.68113899999999994</v>
      </c>
      <c r="I15" s="100">
        <v>19377361</v>
      </c>
      <c r="J15" s="101">
        <v>6178685</v>
      </c>
      <c r="K15" s="102">
        <v>13198676</v>
      </c>
      <c r="L15" s="100">
        <v>1723864</v>
      </c>
      <c r="M15" s="101">
        <v>549673</v>
      </c>
      <c r="N15" s="101">
        <v>1174191</v>
      </c>
      <c r="O15" s="100">
        <v>0</v>
      </c>
      <c r="P15" s="101">
        <v>0</v>
      </c>
      <c r="Q15" s="101">
        <v>0</v>
      </c>
      <c r="R15" s="100">
        <v>0</v>
      </c>
      <c r="S15" s="101">
        <v>0</v>
      </c>
      <c r="T15" s="101">
        <v>0</v>
      </c>
      <c r="U15" s="100">
        <v>0</v>
      </c>
      <c r="V15" s="101">
        <v>0</v>
      </c>
      <c r="W15" s="101">
        <v>0</v>
      </c>
      <c r="X15" s="100">
        <v>854233</v>
      </c>
      <c r="Y15" s="101">
        <v>272382</v>
      </c>
      <c r="Z15" s="101">
        <v>581851</v>
      </c>
      <c r="AA15" s="107">
        <v>-88065</v>
      </c>
      <c r="AB15" s="98">
        <v>-88065</v>
      </c>
      <c r="AC15" s="98">
        <v>-88065</v>
      </c>
      <c r="AD15" s="98">
        <v>-88065</v>
      </c>
      <c r="AE15" s="98">
        <v>-88065</v>
      </c>
      <c r="AF15" s="99">
        <v>-413908</v>
      </c>
      <c r="AG15" s="107">
        <v>-28080.493965000001</v>
      </c>
      <c r="AH15" s="98">
        <v>-28080.493965000001</v>
      </c>
      <c r="AI15" s="98">
        <v>-28080.493965000001</v>
      </c>
      <c r="AJ15" s="98">
        <v>-28080.493965000001</v>
      </c>
      <c r="AK15" s="98">
        <v>-28080.493965000001</v>
      </c>
      <c r="AL15" s="99">
        <v>-131979.11878799999</v>
      </c>
      <c r="AM15" s="107">
        <v>-59984.506034999999</v>
      </c>
      <c r="AN15" s="98">
        <v>-59984.506034999999</v>
      </c>
      <c r="AO15" s="98">
        <v>-59984.506034999999</v>
      </c>
      <c r="AP15" s="98">
        <v>-59984.506034999999</v>
      </c>
      <c r="AQ15" s="98">
        <v>-59984.506034999999</v>
      </c>
      <c r="AR15" s="99">
        <v>-281928.88121200004</v>
      </c>
      <c r="AS15" s="100">
        <v>-770720</v>
      </c>
      <c r="AT15" s="101">
        <v>-193880</v>
      </c>
      <c r="AU15" s="102">
        <v>-576840</v>
      </c>
      <c r="AV15" s="103">
        <v>20861391</v>
      </c>
      <c r="AW15" s="104">
        <v>17963330</v>
      </c>
      <c r="AX15" s="104">
        <v>17049904</v>
      </c>
      <c r="AY15" s="105">
        <v>22152137</v>
      </c>
      <c r="AZ15" s="103">
        <v>6651884</v>
      </c>
      <c r="BA15" s="104">
        <v>5727805</v>
      </c>
      <c r="BB15" s="104">
        <v>5436549</v>
      </c>
      <c r="BC15" s="105">
        <v>7063453</v>
      </c>
      <c r="BD15" s="103">
        <v>14209507</v>
      </c>
      <c r="BE15" s="104">
        <v>12235525</v>
      </c>
      <c r="BF15" s="104">
        <v>11613355</v>
      </c>
      <c r="BG15" s="105">
        <v>15088684</v>
      </c>
      <c r="BH15" s="64">
        <f t="shared" si="1"/>
        <v>64899.420845000073</v>
      </c>
      <c r="BI15" s="106">
        <f t="shared" si="2"/>
        <v>138606.57915499993</v>
      </c>
    </row>
    <row r="16" spans="2:77">
      <c r="B16" s="89" t="s">
        <v>255</v>
      </c>
      <c r="C16" s="90">
        <f>'[1]LEA - Summary GASB75'!H16</f>
        <v>7376865</v>
      </c>
      <c r="D16" s="91">
        <f t="shared" si="0"/>
        <v>2219529.010605</v>
      </c>
      <c r="E16" s="92">
        <v>7291007</v>
      </c>
      <c r="F16" s="93">
        <v>2193693</v>
      </c>
      <c r="G16" s="94">
        <v>0.30087700000000001</v>
      </c>
      <c r="H16" s="94">
        <v>0.69912299999999994</v>
      </c>
      <c r="I16" s="100">
        <v>7291007</v>
      </c>
      <c r="J16" s="101">
        <v>2193696</v>
      </c>
      <c r="K16" s="102">
        <v>5097311</v>
      </c>
      <c r="L16" s="100">
        <v>613968</v>
      </c>
      <c r="M16" s="101">
        <v>184729</v>
      </c>
      <c r="N16" s="101">
        <v>429239</v>
      </c>
      <c r="O16" s="100">
        <v>0</v>
      </c>
      <c r="P16" s="101">
        <v>0</v>
      </c>
      <c r="Q16" s="101">
        <v>0</v>
      </c>
      <c r="R16" s="100">
        <v>0</v>
      </c>
      <c r="S16" s="101">
        <v>0</v>
      </c>
      <c r="T16" s="101">
        <v>0</v>
      </c>
      <c r="U16" s="100">
        <v>0</v>
      </c>
      <c r="V16" s="101">
        <v>0</v>
      </c>
      <c r="W16" s="101">
        <v>0</v>
      </c>
      <c r="X16" s="100">
        <v>323387</v>
      </c>
      <c r="Y16" s="101">
        <v>97300</v>
      </c>
      <c r="Z16" s="101">
        <v>226087</v>
      </c>
      <c r="AA16" s="107">
        <v>-34773</v>
      </c>
      <c r="AB16" s="98">
        <v>-34773</v>
      </c>
      <c r="AC16" s="98">
        <v>-34773</v>
      </c>
      <c r="AD16" s="98">
        <v>-34773</v>
      </c>
      <c r="AE16" s="98">
        <v>-34773</v>
      </c>
      <c r="AF16" s="99">
        <v>-149522</v>
      </c>
      <c r="AG16" s="107">
        <v>-10462.395920999999</v>
      </c>
      <c r="AH16" s="98">
        <v>-10462.395920999999</v>
      </c>
      <c r="AI16" s="98">
        <v>-10462.395920999999</v>
      </c>
      <c r="AJ16" s="98">
        <v>-10462.395920999999</v>
      </c>
      <c r="AK16" s="98">
        <v>-10462.395920999999</v>
      </c>
      <c r="AL16" s="99">
        <v>-44987.730794000003</v>
      </c>
      <c r="AM16" s="107">
        <v>-24310.604079000001</v>
      </c>
      <c r="AN16" s="98">
        <v>-24310.604079000001</v>
      </c>
      <c r="AO16" s="98">
        <v>-24310.604079000001</v>
      </c>
      <c r="AP16" s="98">
        <v>-24310.604079000001</v>
      </c>
      <c r="AQ16" s="98">
        <v>-24310.604079000001</v>
      </c>
      <c r="AR16" s="99">
        <v>-104534.269206</v>
      </c>
      <c r="AS16" s="100">
        <v>-401336</v>
      </c>
      <c r="AT16" s="101">
        <v>-128623</v>
      </c>
      <c r="AU16" s="102">
        <v>-272713</v>
      </c>
      <c r="AV16" s="103">
        <v>7854872</v>
      </c>
      <c r="AW16" s="104">
        <v>6755874</v>
      </c>
      <c r="AX16" s="104">
        <v>6426752</v>
      </c>
      <c r="AY16" s="105">
        <v>8322598</v>
      </c>
      <c r="AZ16" s="103">
        <v>2363350</v>
      </c>
      <c r="BA16" s="104">
        <v>2032687</v>
      </c>
      <c r="BB16" s="104">
        <v>1933662</v>
      </c>
      <c r="BC16" s="105">
        <v>2504078</v>
      </c>
      <c r="BD16" s="103">
        <v>5491522</v>
      </c>
      <c r="BE16" s="104">
        <v>4723187</v>
      </c>
      <c r="BF16" s="104">
        <v>4493090</v>
      </c>
      <c r="BG16" s="105">
        <v>5818520</v>
      </c>
      <c r="BH16" s="64">
        <f t="shared" si="1"/>
        <v>-25836.010604999959</v>
      </c>
      <c r="BI16" s="106">
        <f t="shared" si="2"/>
        <v>-60021.989395000041</v>
      </c>
    </row>
    <row r="17" spans="2:61">
      <c r="B17" s="89" t="s">
        <v>256</v>
      </c>
      <c r="C17" s="90">
        <f>'[1]LEA - Summary GASB75'!H17</f>
        <v>11744907</v>
      </c>
      <c r="D17" s="91">
        <f t="shared" si="0"/>
        <v>3492606.4844040005</v>
      </c>
      <c r="E17" s="92">
        <v>11429103</v>
      </c>
      <c r="F17" s="93">
        <v>3398699</v>
      </c>
      <c r="G17" s="94">
        <v>0.29737200000000003</v>
      </c>
      <c r="H17" s="94">
        <v>0.70262800000000003</v>
      </c>
      <c r="I17" s="100">
        <v>11429103</v>
      </c>
      <c r="J17" s="101">
        <v>3398695</v>
      </c>
      <c r="K17" s="102">
        <v>8030408</v>
      </c>
      <c r="L17" s="100">
        <v>811486</v>
      </c>
      <c r="M17" s="101">
        <v>241313</v>
      </c>
      <c r="N17" s="101">
        <v>570173</v>
      </c>
      <c r="O17" s="100">
        <v>0</v>
      </c>
      <c r="P17" s="101">
        <v>0</v>
      </c>
      <c r="Q17" s="101">
        <v>0</v>
      </c>
      <c r="R17" s="100">
        <v>0</v>
      </c>
      <c r="S17" s="101">
        <v>0</v>
      </c>
      <c r="T17" s="101">
        <v>0</v>
      </c>
      <c r="U17" s="100">
        <v>0</v>
      </c>
      <c r="V17" s="101">
        <v>0</v>
      </c>
      <c r="W17" s="101">
        <v>0</v>
      </c>
      <c r="X17" s="100">
        <v>427016</v>
      </c>
      <c r="Y17" s="101">
        <v>126983</v>
      </c>
      <c r="Z17" s="101">
        <v>300033</v>
      </c>
      <c r="AA17" s="107">
        <v>-52718</v>
      </c>
      <c r="AB17" s="98">
        <v>-52718</v>
      </c>
      <c r="AC17" s="98">
        <v>-52718</v>
      </c>
      <c r="AD17" s="98">
        <v>-52718</v>
      </c>
      <c r="AE17" s="98">
        <v>-52718</v>
      </c>
      <c r="AF17" s="99">
        <v>-163426</v>
      </c>
      <c r="AG17" s="107">
        <v>-15676.857096000002</v>
      </c>
      <c r="AH17" s="98">
        <v>-15676.857096000002</v>
      </c>
      <c r="AI17" s="98">
        <v>-15676.857096000002</v>
      </c>
      <c r="AJ17" s="98">
        <v>-15676.857096000002</v>
      </c>
      <c r="AK17" s="98">
        <v>-15676.857096000002</v>
      </c>
      <c r="AL17" s="99">
        <v>-48598.316472000006</v>
      </c>
      <c r="AM17" s="107">
        <v>-37041.142904</v>
      </c>
      <c r="AN17" s="98">
        <v>-37041.142904</v>
      </c>
      <c r="AO17" s="98">
        <v>-37041.142904</v>
      </c>
      <c r="AP17" s="98">
        <v>-37041.142904</v>
      </c>
      <c r="AQ17" s="98">
        <v>-37041.142904</v>
      </c>
      <c r="AR17" s="99">
        <v>-114827.68352799999</v>
      </c>
      <c r="AS17" s="100">
        <v>-778490</v>
      </c>
      <c r="AT17" s="101">
        <v>-258502</v>
      </c>
      <c r="AU17" s="102">
        <v>-519988</v>
      </c>
      <c r="AV17" s="103">
        <v>12186204</v>
      </c>
      <c r="AW17" s="104">
        <v>10713659</v>
      </c>
      <c r="AX17" s="104">
        <v>10329210</v>
      </c>
      <c r="AY17" s="105">
        <v>12720153</v>
      </c>
      <c r="AZ17" s="103">
        <v>3623836</v>
      </c>
      <c r="BA17" s="104">
        <v>3185942</v>
      </c>
      <c r="BB17" s="104">
        <v>3071618</v>
      </c>
      <c r="BC17" s="105">
        <v>3782617</v>
      </c>
      <c r="BD17" s="103">
        <v>8562368</v>
      </c>
      <c r="BE17" s="104">
        <v>7527717</v>
      </c>
      <c r="BF17" s="104">
        <v>7257592</v>
      </c>
      <c r="BG17" s="105">
        <v>8937536</v>
      </c>
      <c r="BH17" s="64">
        <f t="shared" si="1"/>
        <v>-93907.484404000454</v>
      </c>
      <c r="BI17" s="106">
        <f t="shared" si="2"/>
        <v>-221896.51559599955</v>
      </c>
    </row>
    <row r="18" spans="2:61">
      <c r="B18" s="89" t="s">
        <v>257</v>
      </c>
      <c r="C18" s="90">
        <f>'[1]LEA - Summary GASB75'!H18</f>
        <v>1901062</v>
      </c>
      <c r="D18" s="91">
        <f t="shared" si="0"/>
        <v>675101.33531599992</v>
      </c>
      <c r="E18" s="92">
        <v>1935211</v>
      </c>
      <c r="F18" s="93">
        <v>687229</v>
      </c>
      <c r="G18" s="94">
        <v>0.35511799999999999</v>
      </c>
      <c r="H18" s="94">
        <v>0.64488199999999996</v>
      </c>
      <c r="I18" s="100">
        <v>1935211</v>
      </c>
      <c r="J18" s="101">
        <v>687228</v>
      </c>
      <c r="K18" s="102">
        <v>1247983</v>
      </c>
      <c r="L18" s="100">
        <v>175141</v>
      </c>
      <c r="M18" s="101">
        <v>62196</v>
      </c>
      <c r="N18" s="101">
        <v>112945</v>
      </c>
      <c r="O18" s="100">
        <v>0</v>
      </c>
      <c r="P18" s="101">
        <v>0</v>
      </c>
      <c r="Q18" s="101">
        <v>0</v>
      </c>
      <c r="R18" s="100">
        <v>0</v>
      </c>
      <c r="S18" s="101">
        <v>0</v>
      </c>
      <c r="T18" s="101">
        <v>0</v>
      </c>
      <c r="U18" s="100">
        <v>0</v>
      </c>
      <c r="V18" s="101">
        <v>0</v>
      </c>
      <c r="W18" s="101">
        <v>0</v>
      </c>
      <c r="X18" s="100">
        <v>85749</v>
      </c>
      <c r="Y18" s="101">
        <v>30451</v>
      </c>
      <c r="Z18" s="101">
        <v>55298</v>
      </c>
      <c r="AA18" s="107">
        <v>-9320</v>
      </c>
      <c r="AB18" s="98">
        <v>-9320</v>
      </c>
      <c r="AC18" s="98">
        <v>-9320</v>
      </c>
      <c r="AD18" s="98">
        <v>-9320</v>
      </c>
      <c r="AE18" s="98">
        <v>-9320</v>
      </c>
      <c r="AF18" s="99">
        <v>-39149</v>
      </c>
      <c r="AG18" s="107">
        <v>-3309.69976</v>
      </c>
      <c r="AH18" s="98">
        <v>-3309.69976</v>
      </c>
      <c r="AI18" s="98">
        <v>-3309.69976</v>
      </c>
      <c r="AJ18" s="98">
        <v>-3309.69976</v>
      </c>
      <c r="AK18" s="98">
        <v>-3309.69976</v>
      </c>
      <c r="AL18" s="99">
        <v>-13902.514582</v>
      </c>
      <c r="AM18" s="107">
        <v>-6010.3002400000005</v>
      </c>
      <c r="AN18" s="98">
        <v>-6010.3002400000005</v>
      </c>
      <c r="AO18" s="98">
        <v>-6010.3002400000005</v>
      </c>
      <c r="AP18" s="98">
        <v>-6010.3002400000005</v>
      </c>
      <c r="AQ18" s="98">
        <v>-6010.3002400000005</v>
      </c>
      <c r="AR18" s="99">
        <v>-25246.485418</v>
      </c>
      <c r="AS18" s="100">
        <v>-69443</v>
      </c>
      <c r="AT18" s="101">
        <v>-24234</v>
      </c>
      <c r="AU18" s="102">
        <v>-45209</v>
      </c>
      <c r="AV18" s="103">
        <v>2084828</v>
      </c>
      <c r="AW18" s="104">
        <v>1791791</v>
      </c>
      <c r="AX18" s="104">
        <v>1691672</v>
      </c>
      <c r="AY18" s="105">
        <v>2225522</v>
      </c>
      <c r="AZ18" s="103">
        <v>740360</v>
      </c>
      <c r="BA18" s="104">
        <v>636297</v>
      </c>
      <c r="BB18" s="104">
        <v>600743</v>
      </c>
      <c r="BC18" s="105">
        <v>790323</v>
      </c>
      <c r="BD18" s="103">
        <v>1344468</v>
      </c>
      <c r="BE18" s="104">
        <v>1155494</v>
      </c>
      <c r="BF18" s="104">
        <v>1090929</v>
      </c>
      <c r="BG18" s="105">
        <v>1435199</v>
      </c>
      <c r="BH18" s="64">
        <f t="shared" si="1"/>
        <v>12127.664684000076</v>
      </c>
      <c r="BI18" s="106">
        <f t="shared" si="2"/>
        <v>22021.335316000041</v>
      </c>
    </row>
    <row r="19" spans="2:61">
      <c r="B19" s="89" t="s">
        <v>258</v>
      </c>
      <c r="C19" s="90">
        <f>'[1]LEA - Summary GASB75'!H19</f>
        <v>190456</v>
      </c>
      <c r="D19" s="91">
        <f t="shared" si="0"/>
        <v>56459.919375999998</v>
      </c>
      <c r="E19" s="92">
        <v>195300</v>
      </c>
      <c r="F19" s="93">
        <v>57896</v>
      </c>
      <c r="G19" s="94">
        <v>0.29644599999999999</v>
      </c>
      <c r="H19" s="94">
        <v>0.70355400000000001</v>
      </c>
      <c r="I19" s="100">
        <v>195300</v>
      </c>
      <c r="J19" s="101">
        <v>57896</v>
      </c>
      <c r="K19" s="102">
        <v>137404</v>
      </c>
      <c r="L19" s="100">
        <v>20888</v>
      </c>
      <c r="M19" s="101">
        <v>6192</v>
      </c>
      <c r="N19" s="101">
        <v>14696</v>
      </c>
      <c r="O19" s="100">
        <v>0</v>
      </c>
      <c r="P19" s="101">
        <v>0</v>
      </c>
      <c r="Q19" s="101">
        <v>0</v>
      </c>
      <c r="R19" s="100">
        <v>0</v>
      </c>
      <c r="S19" s="101">
        <v>0</v>
      </c>
      <c r="T19" s="101">
        <v>0</v>
      </c>
      <c r="U19" s="100">
        <v>0</v>
      </c>
      <c r="V19" s="101">
        <v>0</v>
      </c>
      <c r="W19" s="101">
        <v>0</v>
      </c>
      <c r="X19" s="100">
        <v>7992</v>
      </c>
      <c r="Y19" s="101">
        <v>2369</v>
      </c>
      <c r="Z19" s="101">
        <v>5623</v>
      </c>
      <c r="AA19" s="107">
        <v>-850</v>
      </c>
      <c r="AB19" s="98">
        <v>-850</v>
      </c>
      <c r="AC19" s="98">
        <v>-850</v>
      </c>
      <c r="AD19" s="98">
        <v>-850</v>
      </c>
      <c r="AE19" s="98">
        <v>-850</v>
      </c>
      <c r="AF19" s="99">
        <v>-3742</v>
      </c>
      <c r="AG19" s="107">
        <v>-251.97909999999999</v>
      </c>
      <c r="AH19" s="98">
        <v>-251.97909999999999</v>
      </c>
      <c r="AI19" s="98">
        <v>-251.97909999999999</v>
      </c>
      <c r="AJ19" s="98">
        <v>-251.97909999999999</v>
      </c>
      <c r="AK19" s="98">
        <v>-251.97909999999999</v>
      </c>
      <c r="AL19" s="99">
        <v>-1109.3009319999999</v>
      </c>
      <c r="AM19" s="107">
        <v>-598.02089999999998</v>
      </c>
      <c r="AN19" s="98">
        <v>-598.02089999999998</v>
      </c>
      <c r="AO19" s="98">
        <v>-598.02089999999998</v>
      </c>
      <c r="AP19" s="98">
        <v>-598.02089999999998</v>
      </c>
      <c r="AQ19" s="98">
        <v>-598.02089999999998</v>
      </c>
      <c r="AR19" s="99">
        <v>-2632.6990679999999</v>
      </c>
      <c r="AS19" s="100">
        <v>-10998</v>
      </c>
      <c r="AT19" s="101">
        <v>-3278</v>
      </c>
      <c r="AU19" s="102">
        <v>-7720</v>
      </c>
      <c r="AV19" s="103">
        <v>209173</v>
      </c>
      <c r="AW19" s="104">
        <v>181990</v>
      </c>
      <c r="AX19" s="104">
        <v>171516</v>
      </c>
      <c r="AY19" s="105">
        <v>223847</v>
      </c>
      <c r="AZ19" s="103">
        <v>62008</v>
      </c>
      <c r="BA19" s="104">
        <v>53950</v>
      </c>
      <c r="BB19" s="104">
        <v>50845</v>
      </c>
      <c r="BC19" s="105">
        <v>66359</v>
      </c>
      <c r="BD19" s="103">
        <v>147165</v>
      </c>
      <c r="BE19" s="104">
        <v>128040</v>
      </c>
      <c r="BF19" s="104">
        <v>120671</v>
      </c>
      <c r="BG19" s="105">
        <v>157488</v>
      </c>
      <c r="BH19" s="64">
        <f t="shared" si="1"/>
        <v>1436.080624000002</v>
      </c>
      <c r="BI19" s="106">
        <f t="shared" si="2"/>
        <v>3407.9193760000053</v>
      </c>
    </row>
    <row r="20" spans="2:61">
      <c r="B20" s="89" t="s">
        <v>259</v>
      </c>
      <c r="C20" s="90">
        <f>'[1]LEA - Summary GASB75'!H20</f>
        <v>14716819</v>
      </c>
      <c r="D20" s="91">
        <f t="shared" si="0"/>
        <v>4456326.3772949995</v>
      </c>
      <c r="E20" s="92">
        <v>14208309</v>
      </c>
      <c r="F20" s="93">
        <v>4302354</v>
      </c>
      <c r="G20" s="94">
        <v>0.30280499999999999</v>
      </c>
      <c r="H20" s="94">
        <v>0.69719500000000001</v>
      </c>
      <c r="I20" s="100">
        <v>14208309</v>
      </c>
      <c r="J20" s="101">
        <v>4302347</v>
      </c>
      <c r="K20" s="102">
        <v>9905962</v>
      </c>
      <c r="L20" s="100">
        <v>1049664</v>
      </c>
      <c r="M20" s="101">
        <v>317844</v>
      </c>
      <c r="N20" s="101">
        <v>731820</v>
      </c>
      <c r="O20" s="100">
        <v>0</v>
      </c>
      <c r="P20" s="101">
        <v>0</v>
      </c>
      <c r="Q20" s="101">
        <v>0</v>
      </c>
      <c r="R20" s="100">
        <v>0</v>
      </c>
      <c r="S20" s="101">
        <v>0</v>
      </c>
      <c r="T20" s="101">
        <v>0</v>
      </c>
      <c r="U20" s="100">
        <v>0</v>
      </c>
      <c r="V20" s="101">
        <v>0</v>
      </c>
      <c r="W20" s="101">
        <v>0</v>
      </c>
      <c r="X20" s="100">
        <v>516918</v>
      </c>
      <c r="Y20" s="101">
        <v>156525</v>
      </c>
      <c r="Z20" s="101">
        <v>360393</v>
      </c>
      <c r="AA20" s="107">
        <v>-66272</v>
      </c>
      <c r="AB20" s="98">
        <v>-66272</v>
      </c>
      <c r="AC20" s="98">
        <v>-66272</v>
      </c>
      <c r="AD20" s="98">
        <v>-66272</v>
      </c>
      <c r="AE20" s="98">
        <v>-66272</v>
      </c>
      <c r="AF20" s="99">
        <v>-185558</v>
      </c>
      <c r="AG20" s="107">
        <v>-20067.49296</v>
      </c>
      <c r="AH20" s="98">
        <v>-20067.49296</v>
      </c>
      <c r="AI20" s="98">
        <v>-20067.49296</v>
      </c>
      <c r="AJ20" s="98">
        <v>-20067.49296</v>
      </c>
      <c r="AK20" s="98">
        <v>-20067.49296</v>
      </c>
      <c r="AL20" s="99">
        <v>-56187.890189999998</v>
      </c>
      <c r="AM20" s="107">
        <v>-46204.507039999997</v>
      </c>
      <c r="AN20" s="98">
        <v>-46204.507039999997</v>
      </c>
      <c r="AO20" s="98">
        <v>-46204.507039999997</v>
      </c>
      <c r="AP20" s="98">
        <v>-46204.507039999997</v>
      </c>
      <c r="AQ20" s="98">
        <v>-46204.507039999997</v>
      </c>
      <c r="AR20" s="99">
        <v>-129370.10980999999</v>
      </c>
      <c r="AS20" s="100">
        <v>-1098186</v>
      </c>
      <c r="AT20" s="101">
        <v>-276252</v>
      </c>
      <c r="AU20" s="102">
        <v>-821934</v>
      </c>
      <c r="AV20" s="103">
        <v>15126107</v>
      </c>
      <c r="AW20" s="104">
        <v>13328956</v>
      </c>
      <c r="AX20" s="104">
        <v>12807777</v>
      </c>
      <c r="AY20" s="105">
        <v>15849686</v>
      </c>
      <c r="AZ20" s="103">
        <v>4580261</v>
      </c>
      <c r="BA20" s="104">
        <v>4036075</v>
      </c>
      <c r="BB20" s="104">
        <v>3878259</v>
      </c>
      <c r="BC20" s="105">
        <v>4799364</v>
      </c>
      <c r="BD20" s="103">
        <v>10545846</v>
      </c>
      <c r="BE20" s="104">
        <v>9292881</v>
      </c>
      <c r="BF20" s="104">
        <v>8929518</v>
      </c>
      <c r="BG20" s="105">
        <v>11050322</v>
      </c>
      <c r="BH20" s="64">
        <f t="shared" si="1"/>
        <v>-153972.37729499955</v>
      </c>
      <c r="BI20" s="106">
        <f t="shared" si="2"/>
        <v>-354537.62270500138</v>
      </c>
    </row>
    <row r="21" spans="2:61">
      <c r="B21" s="89" t="s">
        <v>260</v>
      </c>
      <c r="C21" s="90">
        <f>'[1]LEA - Summary GASB75'!H21</f>
        <v>11544154</v>
      </c>
      <c r="D21" s="91">
        <f t="shared" si="0"/>
        <v>2706688.5234560003</v>
      </c>
      <c r="E21" s="92">
        <v>11526524</v>
      </c>
      <c r="F21" s="93">
        <v>2702555</v>
      </c>
      <c r="G21" s="94">
        <v>0.23446400000000001</v>
      </c>
      <c r="H21" s="94">
        <v>0.76553599999999999</v>
      </c>
      <c r="I21" s="100">
        <v>11526524</v>
      </c>
      <c r="J21" s="101">
        <v>2702555</v>
      </c>
      <c r="K21" s="102">
        <v>8823969</v>
      </c>
      <c r="L21" s="100">
        <v>1039370</v>
      </c>
      <c r="M21" s="101">
        <v>243695</v>
      </c>
      <c r="N21" s="101">
        <v>795675</v>
      </c>
      <c r="O21" s="100">
        <v>0</v>
      </c>
      <c r="P21" s="101">
        <v>0</v>
      </c>
      <c r="Q21" s="101">
        <v>0</v>
      </c>
      <c r="R21" s="100">
        <v>0</v>
      </c>
      <c r="S21" s="101">
        <v>0</v>
      </c>
      <c r="T21" s="101">
        <v>0</v>
      </c>
      <c r="U21" s="100">
        <v>0</v>
      </c>
      <c r="V21" s="101">
        <v>0</v>
      </c>
      <c r="W21" s="101">
        <v>0</v>
      </c>
      <c r="X21" s="100">
        <v>525819</v>
      </c>
      <c r="Y21" s="101">
        <v>123286</v>
      </c>
      <c r="Z21" s="101">
        <v>402533</v>
      </c>
      <c r="AA21" s="107">
        <v>-52582</v>
      </c>
      <c r="AB21" s="98">
        <v>-52582</v>
      </c>
      <c r="AC21" s="98">
        <v>-52582</v>
      </c>
      <c r="AD21" s="98">
        <v>-52582</v>
      </c>
      <c r="AE21" s="98">
        <v>-52582</v>
      </c>
      <c r="AF21" s="99">
        <v>-262909</v>
      </c>
      <c r="AG21" s="107">
        <v>-12328.586048000001</v>
      </c>
      <c r="AH21" s="98">
        <v>-12328.586048000001</v>
      </c>
      <c r="AI21" s="98">
        <v>-12328.586048000001</v>
      </c>
      <c r="AJ21" s="98">
        <v>-12328.586048000001</v>
      </c>
      <c r="AK21" s="98">
        <v>-12328.586048000001</v>
      </c>
      <c r="AL21" s="99">
        <v>-61642.695776</v>
      </c>
      <c r="AM21" s="107">
        <v>-40253.413952000003</v>
      </c>
      <c r="AN21" s="98">
        <v>-40253.413952000003</v>
      </c>
      <c r="AO21" s="98">
        <v>-40253.413952000003</v>
      </c>
      <c r="AP21" s="98">
        <v>-40253.413952000003</v>
      </c>
      <c r="AQ21" s="98">
        <v>-40253.413952000003</v>
      </c>
      <c r="AR21" s="99">
        <v>-201266.30422399999</v>
      </c>
      <c r="AS21" s="100">
        <v>-568083</v>
      </c>
      <c r="AT21" s="101">
        <v>-138931</v>
      </c>
      <c r="AU21" s="102">
        <v>-429152</v>
      </c>
      <c r="AV21" s="103">
        <v>12439052</v>
      </c>
      <c r="AW21" s="104">
        <v>10664703</v>
      </c>
      <c r="AX21" s="104">
        <v>10142309</v>
      </c>
      <c r="AY21" s="105">
        <v>13183462</v>
      </c>
      <c r="AZ21" s="103">
        <v>2916510</v>
      </c>
      <c r="BA21" s="104">
        <v>2500489</v>
      </c>
      <c r="BB21" s="104">
        <v>2378006</v>
      </c>
      <c r="BC21" s="105">
        <v>3091047</v>
      </c>
      <c r="BD21" s="103">
        <v>9522542</v>
      </c>
      <c r="BE21" s="104">
        <v>8164214</v>
      </c>
      <c r="BF21" s="104">
        <v>7764303</v>
      </c>
      <c r="BG21" s="105">
        <v>10092415</v>
      </c>
      <c r="BH21" s="64">
        <f t="shared" si="1"/>
        <v>-4133.5234560002573</v>
      </c>
      <c r="BI21" s="106">
        <f t="shared" si="2"/>
        <v>-13496.476544000208</v>
      </c>
    </row>
    <row r="22" spans="2:61">
      <c r="B22" s="89" t="s">
        <v>261</v>
      </c>
      <c r="C22" s="90">
        <f>'[1]LEA - Summary GASB75'!H22</f>
        <v>0</v>
      </c>
      <c r="D22" s="91">
        <f t="shared" si="0"/>
        <v>0</v>
      </c>
      <c r="E22" s="92">
        <v>0</v>
      </c>
      <c r="F22" s="93">
        <v>0</v>
      </c>
      <c r="G22" s="94">
        <v>0</v>
      </c>
      <c r="H22" s="94">
        <v>1</v>
      </c>
      <c r="I22" s="100">
        <v>0</v>
      </c>
      <c r="J22" s="101">
        <v>0</v>
      </c>
      <c r="K22" s="102">
        <v>0</v>
      </c>
      <c r="L22" s="100">
        <v>0</v>
      </c>
      <c r="M22" s="101">
        <v>0</v>
      </c>
      <c r="N22" s="101">
        <v>0</v>
      </c>
      <c r="O22" s="100">
        <v>0</v>
      </c>
      <c r="P22" s="101">
        <v>0</v>
      </c>
      <c r="Q22" s="101">
        <v>0</v>
      </c>
      <c r="R22" s="100">
        <v>0</v>
      </c>
      <c r="S22" s="101">
        <v>0</v>
      </c>
      <c r="T22" s="101">
        <v>0</v>
      </c>
      <c r="U22" s="100">
        <v>0</v>
      </c>
      <c r="V22" s="101">
        <v>0</v>
      </c>
      <c r="W22" s="101">
        <v>0</v>
      </c>
      <c r="X22" s="100">
        <v>0</v>
      </c>
      <c r="Y22" s="101">
        <v>0</v>
      </c>
      <c r="Z22" s="101">
        <v>0</v>
      </c>
      <c r="AA22" s="107">
        <v>0</v>
      </c>
      <c r="AB22" s="98">
        <v>0</v>
      </c>
      <c r="AC22" s="98">
        <v>0</v>
      </c>
      <c r="AD22" s="98">
        <v>0</v>
      </c>
      <c r="AE22" s="98">
        <v>0</v>
      </c>
      <c r="AF22" s="99">
        <v>0</v>
      </c>
      <c r="AG22" s="107">
        <v>0</v>
      </c>
      <c r="AH22" s="98">
        <v>0</v>
      </c>
      <c r="AI22" s="98">
        <v>0</v>
      </c>
      <c r="AJ22" s="98">
        <v>0</v>
      </c>
      <c r="AK22" s="98">
        <v>0</v>
      </c>
      <c r="AL22" s="99">
        <v>0</v>
      </c>
      <c r="AM22" s="107">
        <v>0</v>
      </c>
      <c r="AN22" s="98">
        <v>0</v>
      </c>
      <c r="AO22" s="98">
        <v>0</v>
      </c>
      <c r="AP22" s="98">
        <v>0</v>
      </c>
      <c r="AQ22" s="98">
        <v>0</v>
      </c>
      <c r="AR22" s="99">
        <v>0</v>
      </c>
      <c r="AS22" s="100">
        <v>0</v>
      </c>
      <c r="AT22" s="101">
        <v>0</v>
      </c>
      <c r="AU22" s="102">
        <v>0</v>
      </c>
      <c r="AV22" s="103">
        <v>0</v>
      </c>
      <c r="AW22" s="104">
        <v>0</v>
      </c>
      <c r="AX22" s="104">
        <v>0</v>
      </c>
      <c r="AY22" s="105">
        <v>0</v>
      </c>
      <c r="AZ22" s="103">
        <v>0</v>
      </c>
      <c r="BA22" s="104">
        <v>0</v>
      </c>
      <c r="BB22" s="104">
        <v>0</v>
      </c>
      <c r="BC22" s="105">
        <v>0</v>
      </c>
      <c r="BD22" s="103">
        <v>0</v>
      </c>
      <c r="BE22" s="104">
        <v>0</v>
      </c>
      <c r="BF22" s="104">
        <v>0</v>
      </c>
      <c r="BG22" s="105">
        <v>0</v>
      </c>
      <c r="BH22" s="64">
        <f t="shared" si="1"/>
        <v>0</v>
      </c>
      <c r="BI22" s="106">
        <f t="shared" si="2"/>
        <v>0</v>
      </c>
    </row>
    <row r="23" spans="2:61">
      <c r="B23" s="89" t="s">
        <v>262</v>
      </c>
      <c r="C23" s="90">
        <f>'[1]LEA - Summary GASB75'!H23</f>
        <v>937501</v>
      </c>
      <c r="D23" s="91">
        <f t="shared" si="0"/>
        <v>327840.34969599999</v>
      </c>
      <c r="E23" s="92">
        <v>915433</v>
      </c>
      <c r="F23" s="93">
        <v>320123</v>
      </c>
      <c r="G23" s="94">
        <v>0.34969600000000001</v>
      </c>
      <c r="H23" s="94">
        <v>0.65030399999999999</v>
      </c>
      <c r="I23" s="100">
        <v>915433</v>
      </c>
      <c r="J23" s="101">
        <v>320123</v>
      </c>
      <c r="K23" s="102">
        <v>595310</v>
      </c>
      <c r="L23" s="100">
        <v>78400</v>
      </c>
      <c r="M23" s="101">
        <v>27416</v>
      </c>
      <c r="N23" s="101">
        <v>50984</v>
      </c>
      <c r="O23" s="100">
        <v>0</v>
      </c>
      <c r="P23" s="101">
        <v>0</v>
      </c>
      <c r="Q23" s="101">
        <v>0</v>
      </c>
      <c r="R23" s="100">
        <v>0</v>
      </c>
      <c r="S23" s="101">
        <v>0</v>
      </c>
      <c r="T23" s="101">
        <v>0</v>
      </c>
      <c r="U23" s="100">
        <v>0</v>
      </c>
      <c r="V23" s="101">
        <v>0</v>
      </c>
      <c r="W23" s="101">
        <v>0</v>
      </c>
      <c r="X23" s="100">
        <v>39920</v>
      </c>
      <c r="Y23" s="101">
        <v>13960</v>
      </c>
      <c r="Z23" s="101">
        <v>25960</v>
      </c>
      <c r="AA23" s="107">
        <v>-4247</v>
      </c>
      <c r="AB23" s="98">
        <v>-4247</v>
      </c>
      <c r="AC23" s="98">
        <v>-4247</v>
      </c>
      <c r="AD23" s="98">
        <v>-4247</v>
      </c>
      <c r="AE23" s="98">
        <v>-4247</v>
      </c>
      <c r="AF23" s="99">
        <v>-18685</v>
      </c>
      <c r="AG23" s="107">
        <v>-1485.1589120000001</v>
      </c>
      <c r="AH23" s="98">
        <v>-1485.1589120000001</v>
      </c>
      <c r="AI23" s="98">
        <v>-1485.1589120000001</v>
      </c>
      <c r="AJ23" s="98">
        <v>-1485.1589120000001</v>
      </c>
      <c r="AK23" s="98">
        <v>-1485.1589120000001</v>
      </c>
      <c r="AL23" s="99">
        <v>-6534.0697600000003</v>
      </c>
      <c r="AM23" s="107">
        <v>-2761.8410880000001</v>
      </c>
      <c r="AN23" s="98">
        <v>-2761.8410880000001</v>
      </c>
      <c r="AO23" s="98">
        <v>-2761.8410880000001</v>
      </c>
      <c r="AP23" s="98">
        <v>-2761.8410880000001</v>
      </c>
      <c r="AQ23" s="98">
        <v>-2761.8410880000001</v>
      </c>
      <c r="AR23" s="99">
        <v>-12150.93024</v>
      </c>
      <c r="AS23" s="100">
        <v>-64800</v>
      </c>
      <c r="AT23" s="101">
        <v>-24558</v>
      </c>
      <c r="AU23" s="102">
        <v>-40242</v>
      </c>
      <c r="AV23" s="103">
        <v>985080</v>
      </c>
      <c r="AW23" s="104">
        <v>849475</v>
      </c>
      <c r="AX23" s="104">
        <v>810410</v>
      </c>
      <c r="AY23" s="105">
        <v>1041087</v>
      </c>
      <c r="AZ23" s="103">
        <v>344479</v>
      </c>
      <c r="BA23" s="104">
        <v>297058</v>
      </c>
      <c r="BB23" s="104">
        <v>283397</v>
      </c>
      <c r="BC23" s="105">
        <v>364064</v>
      </c>
      <c r="BD23" s="103">
        <v>640601</v>
      </c>
      <c r="BE23" s="104">
        <v>552417</v>
      </c>
      <c r="BF23" s="104">
        <v>527013</v>
      </c>
      <c r="BG23" s="105">
        <v>677023</v>
      </c>
      <c r="BH23" s="64">
        <f t="shared" si="1"/>
        <v>-7717.3496959999902</v>
      </c>
      <c r="BI23" s="106">
        <f t="shared" si="2"/>
        <v>-14350.65030400001</v>
      </c>
    </row>
    <row r="24" spans="2:61">
      <c r="B24" s="89" t="s">
        <v>263</v>
      </c>
      <c r="C24" s="90">
        <f>'[1]LEA - Summary GASB75'!H24</f>
        <v>0</v>
      </c>
      <c r="D24" s="91">
        <f t="shared" si="0"/>
        <v>0</v>
      </c>
      <c r="E24" s="92">
        <v>0</v>
      </c>
      <c r="F24" s="93">
        <v>0</v>
      </c>
      <c r="G24" s="94">
        <v>0</v>
      </c>
      <c r="H24" s="94">
        <v>1</v>
      </c>
      <c r="I24" s="100">
        <v>0</v>
      </c>
      <c r="J24" s="101">
        <v>0</v>
      </c>
      <c r="K24" s="102">
        <v>0</v>
      </c>
      <c r="L24" s="100">
        <v>0</v>
      </c>
      <c r="M24" s="101">
        <v>0</v>
      </c>
      <c r="N24" s="101">
        <v>0</v>
      </c>
      <c r="O24" s="100">
        <v>0</v>
      </c>
      <c r="P24" s="101">
        <v>0</v>
      </c>
      <c r="Q24" s="101">
        <v>0</v>
      </c>
      <c r="R24" s="100">
        <v>0</v>
      </c>
      <c r="S24" s="101">
        <v>0</v>
      </c>
      <c r="T24" s="101">
        <v>0</v>
      </c>
      <c r="U24" s="100">
        <v>0</v>
      </c>
      <c r="V24" s="101">
        <v>0</v>
      </c>
      <c r="W24" s="101">
        <v>0</v>
      </c>
      <c r="X24" s="100">
        <v>0</v>
      </c>
      <c r="Y24" s="101">
        <v>0</v>
      </c>
      <c r="Z24" s="101">
        <v>0</v>
      </c>
      <c r="AA24" s="107">
        <v>0</v>
      </c>
      <c r="AB24" s="98">
        <v>0</v>
      </c>
      <c r="AC24" s="98">
        <v>0</v>
      </c>
      <c r="AD24" s="98">
        <v>0</v>
      </c>
      <c r="AE24" s="98">
        <v>0</v>
      </c>
      <c r="AF24" s="99">
        <v>0</v>
      </c>
      <c r="AG24" s="107">
        <v>0</v>
      </c>
      <c r="AH24" s="98">
        <v>0</v>
      </c>
      <c r="AI24" s="98">
        <v>0</v>
      </c>
      <c r="AJ24" s="98">
        <v>0</v>
      </c>
      <c r="AK24" s="98">
        <v>0</v>
      </c>
      <c r="AL24" s="99">
        <v>0</v>
      </c>
      <c r="AM24" s="107">
        <v>0</v>
      </c>
      <c r="AN24" s="98">
        <v>0</v>
      </c>
      <c r="AO24" s="98">
        <v>0</v>
      </c>
      <c r="AP24" s="98">
        <v>0</v>
      </c>
      <c r="AQ24" s="98">
        <v>0</v>
      </c>
      <c r="AR24" s="99">
        <v>0</v>
      </c>
      <c r="AS24" s="100">
        <v>0</v>
      </c>
      <c r="AT24" s="101">
        <v>0</v>
      </c>
      <c r="AU24" s="102">
        <v>0</v>
      </c>
      <c r="AV24" s="103">
        <v>0</v>
      </c>
      <c r="AW24" s="104">
        <v>0</v>
      </c>
      <c r="AX24" s="104">
        <v>0</v>
      </c>
      <c r="AY24" s="105">
        <v>0</v>
      </c>
      <c r="AZ24" s="103">
        <v>0</v>
      </c>
      <c r="BA24" s="104">
        <v>0</v>
      </c>
      <c r="BB24" s="104">
        <v>0</v>
      </c>
      <c r="BC24" s="105">
        <v>0</v>
      </c>
      <c r="BD24" s="103">
        <v>0</v>
      </c>
      <c r="BE24" s="104">
        <v>0</v>
      </c>
      <c r="BF24" s="104">
        <v>0</v>
      </c>
      <c r="BG24" s="105">
        <v>0</v>
      </c>
      <c r="BH24" s="64">
        <f t="shared" si="1"/>
        <v>0</v>
      </c>
      <c r="BI24" s="106">
        <f t="shared" si="2"/>
        <v>0</v>
      </c>
    </row>
    <row r="25" spans="2:61">
      <c r="B25" s="89" t="s">
        <v>264</v>
      </c>
      <c r="C25" s="90">
        <f>'[1]LEA - Summary GASB75'!H25</f>
        <v>11774947</v>
      </c>
      <c r="D25" s="91">
        <f t="shared" si="0"/>
        <v>2456053.7701010001</v>
      </c>
      <c r="E25" s="92">
        <v>11842901</v>
      </c>
      <c r="F25" s="93">
        <v>2470223</v>
      </c>
      <c r="G25" s="94">
        <v>0.20858299999999999</v>
      </c>
      <c r="H25" s="94">
        <v>0.79141700000000004</v>
      </c>
      <c r="I25" s="100">
        <v>11842901</v>
      </c>
      <c r="J25" s="101">
        <v>2470228</v>
      </c>
      <c r="K25" s="102">
        <v>9372673</v>
      </c>
      <c r="L25" s="100">
        <v>1135348</v>
      </c>
      <c r="M25" s="101">
        <v>236814</v>
      </c>
      <c r="N25" s="101">
        <v>898534</v>
      </c>
      <c r="O25" s="100">
        <v>0</v>
      </c>
      <c r="P25" s="101">
        <v>0</v>
      </c>
      <c r="Q25" s="101">
        <v>0</v>
      </c>
      <c r="R25" s="100">
        <v>0</v>
      </c>
      <c r="S25" s="101">
        <v>0</v>
      </c>
      <c r="T25" s="101">
        <v>0</v>
      </c>
      <c r="U25" s="100">
        <v>0</v>
      </c>
      <c r="V25" s="101">
        <v>0</v>
      </c>
      <c r="W25" s="101">
        <v>0</v>
      </c>
      <c r="X25" s="100">
        <v>513661</v>
      </c>
      <c r="Y25" s="101">
        <v>107141</v>
      </c>
      <c r="Z25" s="101">
        <v>406520</v>
      </c>
      <c r="AA25" s="107">
        <v>-53506</v>
      </c>
      <c r="AB25" s="98">
        <v>-53506</v>
      </c>
      <c r="AC25" s="98">
        <v>-53506</v>
      </c>
      <c r="AD25" s="98">
        <v>-53506</v>
      </c>
      <c r="AE25" s="98">
        <v>-53506</v>
      </c>
      <c r="AF25" s="99">
        <v>-246131</v>
      </c>
      <c r="AG25" s="107">
        <v>-11160.441998</v>
      </c>
      <c r="AH25" s="98">
        <v>-11160.441998</v>
      </c>
      <c r="AI25" s="98">
        <v>-11160.441998</v>
      </c>
      <c r="AJ25" s="98">
        <v>-11160.441998</v>
      </c>
      <c r="AK25" s="98">
        <v>-11160.441998</v>
      </c>
      <c r="AL25" s="99">
        <v>-51338.742373000001</v>
      </c>
      <c r="AM25" s="107">
        <v>-42345.558001999998</v>
      </c>
      <c r="AN25" s="98">
        <v>-42345.558001999998</v>
      </c>
      <c r="AO25" s="98">
        <v>-42345.558001999998</v>
      </c>
      <c r="AP25" s="98">
        <v>-42345.558001999998</v>
      </c>
      <c r="AQ25" s="98">
        <v>-42345.558001999998</v>
      </c>
      <c r="AR25" s="99">
        <v>-194792.25762699998</v>
      </c>
      <c r="AS25" s="100">
        <v>-649138</v>
      </c>
      <c r="AT25" s="101">
        <v>-120702</v>
      </c>
      <c r="AU25" s="102">
        <v>-528436</v>
      </c>
      <c r="AV25" s="103">
        <v>12737135</v>
      </c>
      <c r="AW25" s="104">
        <v>10995065</v>
      </c>
      <c r="AX25" s="104">
        <v>10440661</v>
      </c>
      <c r="AY25" s="105">
        <v>13518514</v>
      </c>
      <c r="AZ25" s="103">
        <v>2656750</v>
      </c>
      <c r="BA25" s="104">
        <v>2293384</v>
      </c>
      <c r="BB25" s="104">
        <v>2177744</v>
      </c>
      <c r="BC25" s="105">
        <v>2819732</v>
      </c>
      <c r="BD25" s="103">
        <v>10080385</v>
      </c>
      <c r="BE25" s="104">
        <v>8701681</v>
      </c>
      <c r="BF25" s="104">
        <v>8262917</v>
      </c>
      <c r="BG25" s="105">
        <v>10698782</v>
      </c>
      <c r="BH25" s="64">
        <f t="shared" si="1"/>
        <v>14169.229898999911</v>
      </c>
      <c r="BI25" s="106">
        <f t="shared" si="2"/>
        <v>53784.770100999624</v>
      </c>
    </row>
    <row r="26" spans="2:61">
      <c r="B26" s="89" t="s">
        <v>265</v>
      </c>
      <c r="C26" s="90">
        <f>'[1]LEA - Summary GASB75'!H26</f>
        <v>1046374</v>
      </c>
      <c r="D26" s="91">
        <f t="shared" si="0"/>
        <v>373790.95215000003</v>
      </c>
      <c r="E26" s="92">
        <v>996576</v>
      </c>
      <c r="F26" s="93">
        <v>356002</v>
      </c>
      <c r="G26" s="94">
        <v>0.35722500000000001</v>
      </c>
      <c r="H26" s="94">
        <v>0.64277499999999999</v>
      </c>
      <c r="I26" s="100">
        <v>996576</v>
      </c>
      <c r="J26" s="101">
        <v>356002</v>
      </c>
      <c r="K26" s="102">
        <v>640574</v>
      </c>
      <c r="L26" s="100">
        <v>83499</v>
      </c>
      <c r="M26" s="101">
        <v>29828</v>
      </c>
      <c r="N26" s="101">
        <v>53671</v>
      </c>
      <c r="O26" s="100">
        <v>0</v>
      </c>
      <c r="P26" s="101">
        <v>0</v>
      </c>
      <c r="Q26" s="101">
        <v>0</v>
      </c>
      <c r="R26" s="100">
        <v>0</v>
      </c>
      <c r="S26" s="101">
        <v>0</v>
      </c>
      <c r="T26" s="101">
        <v>0</v>
      </c>
      <c r="U26" s="100">
        <v>0</v>
      </c>
      <c r="V26" s="101">
        <v>0</v>
      </c>
      <c r="W26" s="101">
        <v>0</v>
      </c>
      <c r="X26" s="100">
        <v>37174</v>
      </c>
      <c r="Y26" s="101">
        <v>13279</v>
      </c>
      <c r="Z26" s="101">
        <v>23895</v>
      </c>
      <c r="AA26" s="107">
        <v>-4131</v>
      </c>
      <c r="AB26" s="98">
        <v>-4131</v>
      </c>
      <c r="AC26" s="98">
        <v>-4131</v>
      </c>
      <c r="AD26" s="98">
        <v>-4131</v>
      </c>
      <c r="AE26" s="98">
        <v>-4131</v>
      </c>
      <c r="AF26" s="99">
        <v>-16519</v>
      </c>
      <c r="AG26" s="107">
        <v>-1475.696475</v>
      </c>
      <c r="AH26" s="98">
        <v>-1475.696475</v>
      </c>
      <c r="AI26" s="98">
        <v>-1475.696475</v>
      </c>
      <c r="AJ26" s="98">
        <v>-1475.696475</v>
      </c>
      <c r="AK26" s="98">
        <v>-1475.696475</v>
      </c>
      <c r="AL26" s="99">
        <v>-5900.9997750000002</v>
      </c>
      <c r="AM26" s="107">
        <v>-2655.3035250000003</v>
      </c>
      <c r="AN26" s="98">
        <v>-2655.3035250000003</v>
      </c>
      <c r="AO26" s="98">
        <v>-2655.3035250000003</v>
      </c>
      <c r="AP26" s="98">
        <v>-2655.3035250000003</v>
      </c>
      <c r="AQ26" s="98">
        <v>-2655.3035250000003</v>
      </c>
      <c r="AR26" s="99">
        <v>-10618.000225</v>
      </c>
      <c r="AS26" s="100">
        <v>-99473</v>
      </c>
      <c r="AT26" s="101">
        <v>-37620</v>
      </c>
      <c r="AU26" s="102">
        <v>-61853</v>
      </c>
      <c r="AV26" s="103">
        <v>1061373</v>
      </c>
      <c r="AW26" s="104">
        <v>935476</v>
      </c>
      <c r="AX26" s="104">
        <v>895789</v>
      </c>
      <c r="AY26" s="105">
        <v>1118097</v>
      </c>
      <c r="AZ26" s="103">
        <v>379149</v>
      </c>
      <c r="BA26" s="104">
        <v>334175</v>
      </c>
      <c r="BB26" s="104">
        <v>319998</v>
      </c>
      <c r="BC26" s="105">
        <v>399412</v>
      </c>
      <c r="BD26" s="103">
        <v>682224</v>
      </c>
      <c r="BE26" s="104">
        <v>601301</v>
      </c>
      <c r="BF26" s="104">
        <v>575791</v>
      </c>
      <c r="BG26" s="105">
        <v>718685</v>
      </c>
      <c r="BH26" s="64">
        <f t="shared" si="1"/>
        <v>-17788.952150000026</v>
      </c>
      <c r="BI26" s="106">
        <f t="shared" si="2"/>
        <v>-32009.047849999974</v>
      </c>
    </row>
    <row r="27" spans="2:61">
      <c r="B27" s="89" t="s">
        <v>266</v>
      </c>
      <c r="C27" s="90">
        <f>'[1]LEA - Summary GASB75'!H27</f>
        <v>9007148</v>
      </c>
      <c r="D27" s="91">
        <f t="shared" si="0"/>
        <v>2563947.7282360001</v>
      </c>
      <c r="E27" s="92">
        <v>8935486</v>
      </c>
      <c r="F27" s="93">
        <v>2543553</v>
      </c>
      <c r="G27" s="94">
        <v>0.28465699999999999</v>
      </c>
      <c r="H27" s="94">
        <v>0.71534300000000006</v>
      </c>
      <c r="I27" s="100">
        <v>8935486</v>
      </c>
      <c r="J27" s="101">
        <v>2543549</v>
      </c>
      <c r="K27" s="102">
        <v>6391937</v>
      </c>
      <c r="L27" s="100">
        <v>757998</v>
      </c>
      <c r="M27" s="101">
        <v>215769</v>
      </c>
      <c r="N27" s="101">
        <v>542229</v>
      </c>
      <c r="O27" s="100">
        <v>0</v>
      </c>
      <c r="P27" s="101">
        <v>0</v>
      </c>
      <c r="Q27" s="101">
        <v>0</v>
      </c>
      <c r="R27" s="100">
        <v>0</v>
      </c>
      <c r="S27" s="101">
        <v>0</v>
      </c>
      <c r="T27" s="101">
        <v>0</v>
      </c>
      <c r="U27" s="100">
        <v>0</v>
      </c>
      <c r="V27" s="101">
        <v>0</v>
      </c>
      <c r="W27" s="101">
        <v>0</v>
      </c>
      <c r="X27" s="100">
        <v>341499</v>
      </c>
      <c r="Y27" s="101">
        <v>97210</v>
      </c>
      <c r="Z27" s="101">
        <v>244289</v>
      </c>
      <c r="AA27" s="107">
        <v>-39709</v>
      </c>
      <c r="AB27" s="98">
        <v>-39709</v>
      </c>
      <c r="AC27" s="98">
        <v>-39709</v>
      </c>
      <c r="AD27" s="98">
        <v>-39709</v>
      </c>
      <c r="AE27" s="98">
        <v>-39709</v>
      </c>
      <c r="AF27" s="99">
        <v>-142954</v>
      </c>
      <c r="AG27" s="107">
        <v>-11303.444813</v>
      </c>
      <c r="AH27" s="98">
        <v>-11303.444813</v>
      </c>
      <c r="AI27" s="98">
        <v>-11303.444813</v>
      </c>
      <c r="AJ27" s="98">
        <v>-11303.444813</v>
      </c>
      <c r="AK27" s="98">
        <v>-11303.444813</v>
      </c>
      <c r="AL27" s="99">
        <v>-40692.856778000001</v>
      </c>
      <c r="AM27" s="107">
        <v>-28405.555186999998</v>
      </c>
      <c r="AN27" s="98">
        <v>-28405.555186999998</v>
      </c>
      <c r="AO27" s="98">
        <v>-28405.555186999998</v>
      </c>
      <c r="AP27" s="98">
        <v>-28405.555186999998</v>
      </c>
      <c r="AQ27" s="98">
        <v>-28405.555186999998</v>
      </c>
      <c r="AR27" s="99">
        <v>-102261.143222</v>
      </c>
      <c r="AS27" s="100">
        <v>-557381</v>
      </c>
      <c r="AT27" s="101">
        <v>-132699</v>
      </c>
      <c r="AU27" s="102">
        <v>-424682</v>
      </c>
      <c r="AV27" s="103">
        <v>9536268</v>
      </c>
      <c r="AW27" s="104">
        <v>8360051</v>
      </c>
      <c r="AX27" s="104">
        <v>8002273</v>
      </c>
      <c r="AY27" s="105">
        <v>10032701</v>
      </c>
      <c r="AZ27" s="103">
        <v>2714565</v>
      </c>
      <c r="BA27" s="104">
        <v>2379747</v>
      </c>
      <c r="BB27" s="104">
        <v>2277903</v>
      </c>
      <c r="BC27" s="105">
        <v>2855879</v>
      </c>
      <c r="BD27" s="103">
        <v>6821703</v>
      </c>
      <c r="BE27" s="104">
        <v>5980304</v>
      </c>
      <c r="BF27" s="104">
        <v>5724370</v>
      </c>
      <c r="BG27" s="105">
        <v>7176822</v>
      </c>
      <c r="BH27" s="64">
        <f t="shared" si="1"/>
        <v>-20394.728236000054</v>
      </c>
      <c r="BI27" s="106">
        <f t="shared" si="2"/>
        <v>-51267.271763999946</v>
      </c>
    </row>
    <row r="28" spans="2:61">
      <c r="B28" s="89" t="s">
        <v>267</v>
      </c>
      <c r="C28" s="90">
        <f>'[1]LEA - Summary GASB75'!H28</f>
        <v>12633641</v>
      </c>
      <c r="D28" s="91">
        <f t="shared" si="0"/>
        <v>3030102.9920040001</v>
      </c>
      <c r="E28" s="92">
        <v>12766749</v>
      </c>
      <c r="F28" s="93">
        <v>3062025</v>
      </c>
      <c r="G28" s="94">
        <v>0.239844</v>
      </c>
      <c r="H28" s="94">
        <v>0.76015600000000005</v>
      </c>
      <c r="I28" s="100">
        <v>12766749</v>
      </c>
      <c r="J28" s="101">
        <v>3062028</v>
      </c>
      <c r="K28" s="102">
        <v>9704721</v>
      </c>
      <c r="L28" s="100">
        <v>1129406</v>
      </c>
      <c r="M28" s="101">
        <v>270881</v>
      </c>
      <c r="N28" s="101">
        <v>858525</v>
      </c>
      <c r="O28" s="100">
        <v>0</v>
      </c>
      <c r="P28" s="101">
        <v>0</v>
      </c>
      <c r="Q28" s="101">
        <v>0</v>
      </c>
      <c r="R28" s="100">
        <v>0</v>
      </c>
      <c r="S28" s="101">
        <v>0</v>
      </c>
      <c r="T28" s="101">
        <v>0</v>
      </c>
      <c r="U28" s="100">
        <v>0</v>
      </c>
      <c r="V28" s="101">
        <v>0</v>
      </c>
      <c r="W28" s="101">
        <v>0</v>
      </c>
      <c r="X28" s="100">
        <v>566802</v>
      </c>
      <c r="Y28" s="101">
        <v>135944</v>
      </c>
      <c r="Z28" s="101">
        <v>430858</v>
      </c>
      <c r="AA28" s="107">
        <v>-64409</v>
      </c>
      <c r="AB28" s="98">
        <v>-64409</v>
      </c>
      <c r="AC28" s="98">
        <v>-64409</v>
      </c>
      <c r="AD28" s="98">
        <v>-64409</v>
      </c>
      <c r="AE28" s="98">
        <v>-64409</v>
      </c>
      <c r="AF28" s="99">
        <v>-244757</v>
      </c>
      <c r="AG28" s="107">
        <v>-15448.112196</v>
      </c>
      <c r="AH28" s="98">
        <v>-15448.112196</v>
      </c>
      <c r="AI28" s="98">
        <v>-15448.112196</v>
      </c>
      <c r="AJ28" s="98">
        <v>-15448.112196</v>
      </c>
      <c r="AK28" s="98">
        <v>-15448.112196</v>
      </c>
      <c r="AL28" s="99">
        <v>-58703.497907999998</v>
      </c>
      <c r="AM28" s="107">
        <v>-48960.887803999998</v>
      </c>
      <c r="AN28" s="98">
        <v>-48960.887803999998</v>
      </c>
      <c r="AO28" s="98">
        <v>-48960.887803999998</v>
      </c>
      <c r="AP28" s="98">
        <v>-48960.887803999998</v>
      </c>
      <c r="AQ28" s="98">
        <v>-48960.887803999998</v>
      </c>
      <c r="AR28" s="99">
        <v>-186053.50209200001</v>
      </c>
      <c r="AS28" s="100">
        <v>-492462</v>
      </c>
      <c r="AT28" s="101">
        <v>-118022</v>
      </c>
      <c r="AU28" s="102">
        <v>-374440</v>
      </c>
      <c r="AV28" s="103">
        <v>13761138</v>
      </c>
      <c r="AW28" s="104">
        <v>11820591</v>
      </c>
      <c r="AX28" s="104">
        <v>11208828</v>
      </c>
      <c r="AY28" s="105">
        <v>14623808</v>
      </c>
      <c r="AZ28" s="103">
        <v>3300526</v>
      </c>
      <c r="BA28" s="104">
        <v>2835098</v>
      </c>
      <c r="BB28" s="104">
        <v>2688370</v>
      </c>
      <c r="BC28" s="105">
        <v>3507433</v>
      </c>
      <c r="BD28" s="103">
        <v>10460612</v>
      </c>
      <c r="BE28" s="104">
        <v>8985493</v>
      </c>
      <c r="BF28" s="104">
        <v>8520458</v>
      </c>
      <c r="BG28" s="105">
        <v>11116375</v>
      </c>
      <c r="BH28" s="64">
        <f t="shared" si="1"/>
        <v>31922.007995999884</v>
      </c>
      <c r="BI28" s="106">
        <f t="shared" si="2"/>
        <v>101185.99200399965</v>
      </c>
    </row>
    <row r="29" spans="2:61">
      <c r="B29" s="89" t="s">
        <v>268</v>
      </c>
      <c r="C29" s="90">
        <f>'[1]LEA - Summary GASB75'!H29</f>
        <v>0</v>
      </c>
      <c r="D29" s="91">
        <f t="shared" si="0"/>
        <v>0</v>
      </c>
      <c r="E29" s="92">
        <v>0</v>
      </c>
      <c r="F29" s="93">
        <v>0</v>
      </c>
      <c r="G29" s="94">
        <v>0</v>
      </c>
      <c r="H29" s="94">
        <v>1</v>
      </c>
      <c r="I29" s="100">
        <v>0</v>
      </c>
      <c r="J29" s="101">
        <v>0</v>
      </c>
      <c r="K29" s="102">
        <v>0</v>
      </c>
      <c r="L29" s="100">
        <v>0</v>
      </c>
      <c r="M29" s="101">
        <v>0</v>
      </c>
      <c r="N29" s="101">
        <v>0</v>
      </c>
      <c r="O29" s="100">
        <v>0</v>
      </c>
      <c r="P29" s="101">
        <v>0</v>
      </c>
      <c r="Q29" s="101">
        <v>0</v>
      </c>
      <c r="R29" s="100">
        <v>0</v>
      </c>
      <c r="S29" s="101">
        <v>0</v>
      </c>
      <c r="T29" s="101">
        <v>0</v>
      </c>
      <c r="U29" s="100">
        <v>0</v>
      </c>
      <c r="V29" s="101">
        <v>0</v>
      </c>
      <c r="W29" s="101">
        <v>0</v>
      </c>
      <c r="X29" s="100">
        <v>0</v>
      </c>
      <c r="Y29" s="101">
        <v>0</v>
      </c>
      <c r="Z29" s="101">
        <v>0</v>
      </c>
      <c r="AA29" s="107">
        <v>0</v>
      </c>
      <c r="AB29" s="98">
        <v>0</v>
      </c>
      <c r="AC29" s="98">
        <v>0</v>
      </c>
      <c r="AD29" s="98">
        <v>0</v>
      </c>
      <c r="AE29" s="98">
        <v>0</v>
      </c>
      <c r="AF29" s="99">
        <v>0</v>
      </c>
      <c r="AG29" s="107">
        <v>0</v>
      </c>
      <c r="AH29" s="98">
        <v>0</v>
      </c>
      <c r="AI29" s="98">
        <v>0</v>
      </c>
      <c r="AJ29" s="98">
        <v>0</v>
      </c>
      <c r="AK29" s="98">
        <v>0</v>
      </c>
      <c r="AL29" s="99">
        <v>0</v>
      </c>
      <c r="AM29" s="107">
        <v>0</v>
      </c>
      <c r="AN29" s="98">
        <v>0</v>
      </c>
      <c r="AO29" s="98">
        <v>0</v>
      </c>
      <c r="AP29" s="98">
        <v>0</v>
      </c>
      <c r="AQ29" s="98">
        <v>0</v>
      </c>
      <c r="AR29" s="99">
        <v>0</v>
      </c>
      <c r="AS29" s="100">
        <v>0</v>
      </c>
      <c r="AT29" s="101">
        <v>0</v>
      </c>
      <c r="AU29" s="102">
        <v>0</v>
      </c>
      <c r="AV29" s="103">
        <v>0</v>
      </c>
      <c r="AW29" s="104">
        <v>0</v>
      </c>
      <c r="AX29" s="104">
        <v>0</v>
      </c>
      <c r="AY29" s="105">
        <v>0</v>
      </c>
      <c r="AZ29" s="103">
        <v>0</v>
      </c>
      <c r="BA29" s="104">
        <v>0</v>
      </c>
      <c r="BB29" s="104">
        <v>0</v>
      </c>
      <c r="BC29" s="105">
        <v>0</v>
      </c>
      <c r="BD29" s="103">
        <v>0</v>
      </c>
      <c r="BE29" s="104">
        <v>0</v>
      </c>
      <c r="BF29" s="104">
        <v>0</v>
      </c>
      <c r="BG29" s="105">
        <v>0</v>
      </c>
      <c r="BH29" s="64">
        <f t="shared" si="1"/>
        <v>0</v>
      </c>
      <c r="BI29" s="106">
        <f t="shared" si="2"/>
        <v>0</v>
      </c>
    </row>
    <row r="30" spans="2:61">
      <c r="B30" s="89" t="s">
        <v>269</v>
      </c>
      <c r="C30" s="90">
        <f>'[1]LEA - Summary GASB75'!H30</f>
        <v>0</v>
      </c>
      <c r="D30" s="91">
        <f t="shared" si="0"/>
        <v>0</v>
      </c>
      <c r="E30" s="92">
        <v>0</v>
      </c>
      <c r="F30" s="93">
        <v>0</v>
      </c>
      <c r="G30" s="94">
        <v>0</v>
      </c>
      <c r="H30" s="94">
        <v>1</v>
      </c>
      <c r="I30" s="100">
        <v>0</v>
      </c>
      <c r="J30" s="101">
        <v>0</v>
      </c>
      <c r="K30" s="102">
        <v>0</v>
      </c>
      <c r="L30" s="100">
        <v>0</v>
      </c>
      <c r="M30" s="101">
        <v>0</v>
      </c>
      <c r="N30" s="101">
        <v>0</v>
      </c>
      <c r="O30" s="100">
        <v>0</v>
      </c>
      <c r="P30" s="101">
        <v>0</v>
      </c>
      <c r="Q30" s="101">
        <v>0</v>
      </c>
      <c r="R30" s="100">
        <v>0</v>
      </c>
      <c r="S30" s="101">
        <v>0</v>
      </c>
      <c r="T30" s="101">
        <v>0</v>
      </c>
      <c r="U30" s="100">
        <v>0</v>
      </c>
      <c r="V30" s="101">
        <v>0</v>
      </c>
      <c r="W30" s="101">
        <v>0</v>
      </c>
      <c r="X30" s="100">
        <v>0</v>
      </c>
      <c r="Y30" s="101">
        <v>0</v>
      </c>
      <c r="Z30" s="101">
        <v>0</v>
      </c>
      <c r="AA30" s="107">
        <v>0</v>
      </c>
      <c r="AB30" s="98">
        <v>0</v>
      </c>
      <c r="AC30" s="98">
        <v>0</v>
      </c>
      <c r="AD30" s="98">
        <v>0</v>
      </c>
      <c r="AE30" s="98">
        <v>0</v>
      </c>
      <c r="AF30" s="99">
        <v>0</v>
      </c>
      <c r="AG30" s="107">
        <v>0</v>
      </c>
      <c r="AH30" s="98">
        <v>0</v>
      </c>
      <c r="AI30" s="98">
        <v>0</v>
      </c>
      <c r="AJ30" s="98">
        <v>0</v>
      </c>
      <c r="AK30" s="98">
        <v>0</v>
      </c>
      <c r="AL30" s="99">
        <v>0</v>
      </c>
      <c r="AM30" s="107">
        <v>0</v>
      </c>
      <c r="AN30" s="98">
        <v>0</v>
      </c>
      <c r="AO30" s="98">
        <v>0</v>
      </c>
      <c r="AP30" s="98">
        <v>0</v>
      </c>
      <c r="AQ30" s="98">
        <v>0</v>
      </c>
      <c r="AR30" s="99">
        <v>0</v>
      </c>
      <c r="AS30" s="100">
        <v>0</v>
      </c>
      <c r="AT30" s="101">
        <v>0</v>
      </c>
      <c r="AU30" s="102">
        <v>0</v>
      </c>
      <c r="AV30" s="103">
        <v>0</v>
      </c>
      <c r="AW30" s="104">
        <v>0</v>
      </c>
      <c r="AX30" s="104">
        <v>0</v>
      </c>
      <c r="AY30" s="105">
        <v>0</v>
      </c>
      <c r="AZ30" s="103">
        <v>0</v>
      </c>
      <c r="BA30" s="104">
        <v>0</v>
      </c>
      <c r="BB30" s="104">
        <v>0</v>
      </c>
      <c r="BC30" s="105">
        <v>0</v>
      </c>
      <c r="BD30" s="103">
        <v>0</v>
      </c>
      <c r="BE30" s="104">
        <v>0</v>
      </c>
      <c r="BF30" s="104">
        <v>0</v>
      </c>
      <c r="BG30" s="105">
        <v>0</v>
      </c>
      <c r="BH30" s="64">
        <f t="shared" si="1"/>
        <v>0</v>
      </c>
      <c r="BI30" s="106">
        <f t="shared" si="2"/>
        <v>0</v>
      </c>
    </row>
    <row r="31" spans="2:61">
      <c r="B31" s="89" t="s">
        <v>270</v>
      </c>
      <c r="C31" s="90">
        <f>'[1]LEA - Summary GASB75'!H31</f>
        <v>23493424</v>
      </c>
      <c r="D31" s="91">
        <f t="shared" si="0"/>
        <v>4709021.90656</v>
      </c>
      <c r="E31" s="92">
        <v>23772353</v>
      </c>
      <c r="F31" s="93">
        <v>4764932</v>
      </c>
      <c r="G31" s="94">
        <v>0.20044000000000001</v>
      </c>
      <c r="H31" s="94">
        <v>0.79956000000000005</v>
      </c>
      <c r="I31" s="100">
        <v>23772353</v>
      </c>
      <c r="J31" s="101">
        <v>4764930</v>
      </c>
      <c r="K31" s="102">
        <v>19007423</v>
      </c>
      <c r="L31" s="100">
        <v>2189085</v>
      </c>
      <c r="M31" s="101">
        <v>438780</v>
      </c>
      <c r="N31" s="101">
        <v>1750305</v>
      </c>
      <c r="O31" s="100">
        <v>0</v>
      </c>
      <c r="P31" s="101">
        <v>0</v>
      </c>
      <c r="Q31" s="101">
        <v>0</v>
      </c>
      <c r="R31" s="100">
        <v>0</v>
      </c>
      <c r="S31" s="101">
        <v>0</v>
      </c>
      <c r="T31" s="101">
        <v>0</v>
      </c>
      <c r="U31" s="100">
        <v>0</v>
      </c>
      <c r="V31" s="101">
        <v>0</v>
      </c>
      <c r="W31" s="101">
        <v>0</v>
      </c>
      <c r="X31" s="100">
        <v>977438</v>
      </c>
      <c r="Y31" s="101">
        <v>195918</v>
      </c>
      <c r="Z31" s="101">
        <v>781520</v>
      </c>
      <c r="AA31" s="107">
        <v>-111072</v>
      </c>
      <c r="AB31" s="98">
        <v>-111072</v>
      </c>
      <c r="AC31" s="98">
        <v>-111072</v>
      </c>
      <c r="AD31" s="98">
        <v>-111072</v>
      </c>
      <c r="AE31" s="98">
        <v>-111072</v>
      </c>
      <c r="AF31" s="99">
        <v>-422078</v>
      </c>
      <c r="AG31" s="107">
        <v>-22263.271680000002</v>
      </c>
      <c r="AH31" s="98">
        <v>-22263.271680000002</v>
      </c>
      <c r="AI31" s="98">
        <v>-22263.271680000002</v>
      </c>
      <c r="AJ31" s="98">
        <v>-22263.271680000002</v>
      </c>
      <c r="AK31" s="98">
        <v>-22263.271680000002</v>
      </c>
      <c r="AL31" s="99">
        <v>-84601.314320000005</v>
      </c>
      <c r="AM31" s="107">
        <v>-88808.728319999995</v>
      </c>
      <c r="AN31" s="98">
        <v>-88808.728319999995</v>
      </c>
      <c r="AO31" s="98">
        <v>-88808.728319999995</v>
      </c>
      <c r="AP31" s="98">
        <v>-88808.728319999995</v>
      </c>
      <c r="AQ31" s="98">
        <v>-88808.728319999995</v>
      </c>
      <c r="AR31" s="99">
        <v>-337476.68568</v>
      </c>
      <c r="AS31" s="100">
        <v>-1060211</v>
      </c>
      <c r="AT31" s="101">
        <v>-253739</v>
      </c>
      <c r="AU31" s="102">
        <v>-806472</v>
      </c>
      <c r="AV31" s="103">
        <v>25486475</v>
      </c>
      <c r="AW31" s="104">
        <v>22135535</v>
      </c>
      <c r="AX31" s="104">
        <v>21046911</v>
      </c>
      <c r="AY31" s="105">
        <v>27006377</v>
      </c>
      <c r="AZ31" s="103">
        <v>5108509</v>
      </c>
      <c r="BA31" s="104">
        <v>4436847</v>
      </c>
      <c r="BB31" s="104">
        <v>4218643</v>
      </c>
      <c r="BC31" s="105">
        <v>5413158</v>
      </c>
      <c r="BD31" s="103">
        <v>20377966</v>
      </c>
      <c r="BE31" s="104">
        <v>17698688</v>
      </c>
      <c r="BF31" s="104">
        <v>16828268</v>
      </c>
      <c r="BG31" s="105">
        <v>21593219</v>
      </c>
      <c r="BH31" s="64">
        <f t="shared" si="1"/>
        <v>55910.093439999968</v>
      </c>
      <c r="BI31" s="106">
        <f t="shared" si="2"/>
        <v>223018.90656000003</v>
      </c>
    </row>
    <row r="32" spans="2:61">
      <c r="B32" s="89" t="s">
        <v>271</v>
      </c>
      <c r="C32" s="90">
        <f>'[1]LEA - Summary GASB75'!H32</f>
        <v>2092919</v>
      </c>
      <c r="D32" s="91">
        <f t="shared" si="0"/>
        <v>770801.13850999996</v>
      </c>
      <c r="E32" s="92">
        <v>2069679</v>
      </c>
      <c r="F32" s="93">
        <v>762242</v>
      </c>
      <c r="G32" s="94">
        <v>0.36829000000000001</v>
      </c>
      <c r="H32" s="94">
        <v>0.63170999999999999</v>
      </c>
      <c r="I32" s="100">
        <v>2069679</v>
      </c>
      <c r="J32" s="101">
        <v>762242</v>
      </c>
      <c r="K32" s="102">
        <v>1307437</v>
      </c>
      <c r="L32" s="100">
        <v>165451</v>
      </c>
      <c r="M32" s="101">
        <v>60934</v>
      </c>
      <c r="N32" s="101">
        <v>104517</v>
      </c>
      <c r="O32" s="100">
        <v>0</v>
      </c>
      <c r="P32" s="101">
        <v>0</v>
      </c>
      <c r="Q32" s="101">
        <v>0</v>
      </c>
      <c r="R32" s="100">
        <v>0</v>
      </c>
      <c r="S32" s="101">
        <v>0</v>
      </c>
      <c r="T32" s="101">
        <v>0</v>
      </c>
      <c r="U32" s="100">
        <v>0</v>
      </c>
      <c r="V32" s="101">
        <v>0</v>
      </c>
      <c r="W32" s="101">
        <v>0</v>
      </c>
      <c r="X32" s="100">
        <v>82931</v>
      </c>
      <c r="Y32" s="101">
        <v>30543</v>
      </c>
      <c r="Z32" s="101">
        <v>52388</v>
      </c>
      <c r="AA32" s="107">
        <v>-9424</v>
      </c>
      <c r="AB32" s="98">
        <v>-9424</v>
      </c>
      <c r="AC32" s="98">
        <v>-9424</v>
      </c>
      <c r="AD32" s="98">
        <v>-9424</v>
      </c>
      <c r="AE32" s="98">
        <v>-9424</v>
      </c>
      <c r="AF32" s="99">
        <v>-35811</v>
      </c>
      <c r="AG32" s="107">
        <v>-3470.76496</v>
      </c>
      <c r="AH32" s="98">
        <v>-3470.76496</v>
      </c>
      <c r="AI32" s="98">
        <v>-3470.76496</v>
      </c>
      <c r="AJ32" s="98">
        <v>-3470.76496</v>
      </c>
      <c r="AK32" s="98">
        <v>-3470.76496</v>
      </c>
      <c r="AL32" s="99">
        <v>-13188.833189999999</v>
      </c>
      <c r="AM32" s="107">
        <v>-5953.2350399999996</v>
      </c>
      <c r="AN32" s="98">
        <v>-5953.2350399999996</v>
      </c>
      <c r="AO32" s="98">
        <v>-5953.2350399999996</v>
      </c>
      <c r="AP32" s="98">
        <v>-5953.2350399999996</v>
      </c>
      <c r="AQ32" s="98">
        <v>-5953.2350399999996</v>
      </c>
      <c r="AR32" s="99">
        <v>-22622.166810000002</v>
      </c>
      <c r="AS32" s="100">
        <v>-101751</v>
      </c>
      <c r="AT32" s="101">
        <v>-40266</v>
      </c>
      <c r="AU32" s="102">
        <v>-61485</v>
      </c>
      <c r="AV32" s="103">
        <v>2214535</v>
      </c>
      <c r="AW32" s="104">
        <v>1929816</v>
      </c>
      <c r="AX32" s="104">
        <v>1841982</v>
      </c>
      <c r="AY32" s="105">
        <v>2338028</v>
      </c>
      <c r="AZ32" s="103">
        <v>815591</v>
      </c>
      <c r="BA32" s="104">
        <v>710732</v>
      </c>
      <c r="BB32" s="104">
        <v>678384</v>
      </c>
      <c r="BC32" s="105">
        <v>861072</v>
      </c>
      <c r="BD32" s="103">
        <v>1398944</v>
      </c>
      <c r="BE32" s="104">
        <v>1219084</v>
      </c>
      <c r="BF32" s="104">
        <v>1163598</v>
      </c>
      <c r="BG32" s="105">
        <v>1476956</v>
      </c>
      <c r="BH32" s="64">
        <f t="shared" si="1"/>
        <v>-8559.1385099999607</v>
      </c>
      <c r="BI32" s="106">
        <f t="shared" si="2"/>
        <v>-14680.861490000039</v>
      </c>
    </row>
    <row r="33" spans="2:61">
      <c r="B33" s="89" t="s">
        <v>272</v>
      </c>
      <c r="C33" s="90">
        <f>'[1]LEA - Summary GASB75'!H33</f>
        <v>3629693</v>
      </c>
      <c r="D33" s="91">
        <f t="shared" si="0"/>
        <v>1305110.563545</v>
      </c>
      <c r="E33" s="92">
        <v>3551777</v>
      </c>
      <c r="F33" s="93">
        <v>1277095</v>
      </c>
      <c r="G33" s="94">
        <v>0.35956500000000002</v>
      </c>
      <c r="H33" s="94">
        <v>0.64043499999999998</v>
      </c>
      <c r="I33" s="100">
        <v>3551777</v>
      </c>
      <c r="J33" s="101">
        <v>1277095</v>
      </c>
      <c r="K33" s="102">
        <v>2274682</v>
      </c>
      <c r="L33" s="100">
        <v>289283</v>
      </c>
      <c r="M33" s="101">
        <v>104016</v>
      </c>
      <c r="N33" s="101">
        <v>185267</v>
      </c>
      <c r="O33" s="100">
        <v>0</v>
      </c>
      <c r="P33" s="101">
        <v>0</v>
      </c>
      <c r="Q33" s="101">
        <v>0</v>
      </c>
      <c r="R33" s="100">
        <v>0</v>
      </c>
      <c r="S33" s="101">
        <v>0</v>
      </c>
      <c r="T33" s="101">
        <v>0</v>
      </c>
      <c r="U33" s="100">
        <v>0</v>
      </c>
      <c r="V33" s="101">
        <v>0</v>
      </c>
      <c r="W33" s="101">
        <v>0</v>
      </c>
      <c r="X33" s="100">
        <v>156509</v>
      </c>
      <c r="Y33" s="101">
        <v>56275</v>
      </c>
      <c r="Z33" s="101">
        <v>100234</v>
      </c>
      <c r="AA33" s="107">
        <v>-16829</v>
      </c>
      <c r="AB33" s="98">
        <v>-16829</v>
      </c>
      <c r="AC33" s="98">
        <v>-16829</v>
      </c>
      <c r="AD33" s="98">
        <v>-16829</v>
      </c>
      <c r="AE33" s="98">
        <v>-16829</v>
      </c>
      <c r="AF33" s="99">
        <v>-72364</v>
      </c>
      <c r="AG33" s="107">
        <v>-6051.119385</v>
      </c>
      <c r="AH33" s="98">
        <v>-6051.119385</v>
      </c>
      <c r="AI33" s="98">
        <v>-6051.119385</v>
      </c>
      <c r="AJ33" s="98">
        <v>-6051.119385</v>
      </c>
      <c r="AK33" s="98">
        <v>-6051.119385</v>
      </c>
      <c r="AL33" s="99">
        <v>-26019.561660000003</v>
      </c>
      <c r="AM33" s="107">
        <v>-10777.880615</v>
      </c>
      <c r="AN33" s="98">
        <v>-10777.880615</v>
      </c>
      <c r="AO33" s="98">
        <v>-10777.880615</v>
      </c>
      <c r="AP33" s="98">
        <v>-10777.880615</v>
      </c>
      <c r="AQ33" s="98">
        <v>-10777.880615</v>
      </c>
      <c r="AR33" s="99">
        <v>-46344.438339999993</v>
      </c>
      <c r="AS33" s="100">
        <v>-222249</v>
      </c>
      <c r="AT33" s="101">
        <v>-81097</v>
      </c>
      <c r="AU33" s="102">
        <v>-141152</v>
      </c>
      <c r="AV33" s="103">
        <v>3824819</v>
      </c>
      <c r="AW33" s="104">
        <v>3292935</v>
      </c>
      <c r="AX33" s="104">
        <v>3135406</v>
      </c>
      <c r="AY33" s="105">
        <v>4048505</v>
      </c>
      <c r="AZ33" s="103">
        <v>1375271</v>
      </c>
      <c r="BA33" s="104">
        <v>1184024</v>
      </c>
      <c r="BB33" s="104">
        <v>1127382</v>
      </c>
      <c r="BC33" s="105">
        <v>1455701</v>
      </c>
      <c r="BD33" s="103">
        <v>2449548</v>
      </c>
      <c r="BE33" s="104">
        <v>2108911</v>
      </c>
      <c r="BF33" s="104">
        <v>2008024</v>
      </c>
      <c r="BG33" s="105">
        <v>2592804</v>
      </c>
      <c r="BH33" s="64">
        <f t="shared" si="1"/>
        <v>-28015.563545000041</v>
      </c>
      <c r="BI33" s="106">
        <f t="shared" si="2"/>
        <v>-49900.436455000192</v>
      </c>
    </row>
    <row r="34" spans="2:61">
      <c r="B34" s="89" t="s">
        <v>273</v>
      </c>
      <c r="C34" s="90">
        <f>'[1]LEA - Summary GASB75'!H34</f>
        <v>12410207</v>
      </c>
      <c r="D34" s="91">
        <f t="shared" si="0"/>
        <v>4187998.0950479996</v>
      </c>
      <c r="E34" s="92">
        <v>12506629</v>
      </c>
      <c r="F34" s="93">
        <v>4220540</v>
      </c>
      <c r="G34" s="94">
        <v>0.33746399999999999</v>
      </c>
      <c r="H34" s="94">
        <v>0.66253600000000001</v>
      </c>
      <c r="I34" s="100">
        <v>12506629</v>
      </c>
      <c r="J34" s="101">
        <v>4220537</v>
      </c>
      <c r="K34" s="102">
        <v>8286092</v>
      </c>
      <c r="L34" s="100">
        <v>1063760</v>
      </c>
      <c r="M34" s="101">
        <v>358981</v>
      </c>
      <c r="N34" s="101">
        <v>704779</v>
      </c>
      <c r="O34" s="100">
        <v>0</v>
      </c>
      <c r="P34" s="101">
        <v>0</v>
      </c>
      <c r="Q34" s="101">
        <v>0</v>
      </c>
      <c r="R34" s="100">
        <v>0</v>
      </c>
      <c r="S34" s="101">
        <v>0</v>
      </c>
      <c r="T34" s="101">
        <v>0</v>
      </c>
      <c r="U34" s="100">
        <v>0</v>
      </c>
      <c r="V34" s="101">
        <v>0</v>
      </c>
      <c r="W34" s="101">
        <v>0</v>
      </c>
      <c r="X34" s="100">
        <v>505071</v>
      </c>
      <c r="Y34" s="101">
        <v>170443</v>
      </c>
      <c r="Z34" s="101">
        <v>334628</v>
      </c>
      <c r="AA34" s="107">
        <v>-58729</v>
      </c>
      <c r="AB34" s="98">
        <v>-58729</v>
      </c>
      <c r="AC34" s="98">
        <v>-58729</v>
      </c>
      <c r="AD34" s="98">
        <v>-58729</v>
      </c>
      <c r="AE34" s="98">
        <v>-58729</v>
      </c>
      <c r="AF34" s="99">
        <v>-211426</v>
      </c>
      <c r="AG34" s="107">
        <v>-19818.923255999998</v>
      </c>
      <c r="AH34" s="98">
        <v>-19818.923255999998</v>
      </c>
      <c r="AI34" s="98">
        <v>-19818.923255999998</v>
      </c>
      <c r="AJ34" s="98">
        <v>-19818.923255999998</v>
      </c>
      <c r="AK34" s="98">
        <v>-19818.923255999998</v>
      </c>
      <c r="AL34" s="99">
        <v>-71348.663663999992</v>
      </c>
      <c r="AM34" s="107">
        <v>-38910.076744000005</v>
      </c>
      <c r="AN34" s="98">
        <v>-38910.076744000005</v>
      </c>
      <c r="AO34" s="98">
        <v>-38910.076744000005</v>
      </c>
      <c r="AP34" s="98">
        <v>-38910.076744000005</v>
      </c>
      <c r="AQ34" s="98">
        <v>-38910.076744000005</v>
      </c>
      <c r="AR34" s="99">
        <v>-140077.33633600001</v>
      </c>
      <c r="AS34" s="100">
        <v>-537652</v>
      </c>
      <c r="AT34" s="101">
        <v>-180903</v>
      </c>
      <c r="AU34" s="102">
        <v>-356749</v>
      </c>
      <c r="AV34" s="103">
        <v>13393552</v>
      </c>
      <c r="AW34" s="104">
        <v>11657550</v>
      </c>
      <c r="AX34" s="104">
        <v>11125335</v>
      </c>
      <c r="AY34" s="105">
        <v>14135068</v>
      </c>
      <c r="AZ34" s="103">
        <v>4519842</v>
      </c>
      <c r="BA34" s="104">
        <v>3934003</v>
      </c>
      <c r="BB34" s="104">
        <v>3754400</v>
      </c>
      <c r="BC34" s="105">
        <v>4770077</v>
      </c>
      <c r="BD34" s="103">
        <v>8873710</v>
      </c>
      <c r="BE34" s="104">
        <v>7723547</v>
      </c>
      <c r="BF34" s="104">
        <v>7370935</v>
      </c>
      <c r="BG34" s="105">
        <v>9364991</v>
      </c>
      <c r="BH34" s="64">
        <f t="shared" si="1"/>
        <v>32541.904952000361</v>
      </c>
      <c r="BI34" s="106">
        <f t="shared" si="2"/>
        <v>63880.095047999173</v>
      </c>
    </row>
    <row r="35" spans="2:61">
      <c r="B35" s="89" t="s">
        <v>274</v>
      </c>
      <c r="C35" s="90">
        <f>'[1]LEA - Summary GASB75'!H35</f>
        <v>39510</v>
      </c>
      <c r="D35" s="91">
        <f t="shared" si="0"/>
        <v>0</v>
      </c>
      <c r="E35" s="92">
        <v>36929</v>
      </c>
      <c r="F35" s="93">
        <v>0</v>
      </c>
      <c r="G35" s="94">
        <v>0</v>
      </c>
      <c r="H35" s="94">
        <v>1</v>
      </c>
      <c r="I35" s="100">
        <v>36929</v>
      </c>
      <c r="J35" s="101">
        <v>0</v>
      </c>
      <c r="K35" s="102">
        <v>36929</v>
      </c>
      <c r="L35" s="100">
        <v>-173</v>
      </c>
      <c r="M35" s="101">
        <v>0</v>
      </c>
      <c r="N35" s="101">
        <v>-173</v>
      </c>
      <c r="O35" s="100">
        <v>0</v>
      </c>
      <c r="P35" s="101">
        <v>0</v>
      </c>
      <c r="Q35" s="101">
        <v>0</v>
      </c>
      <c r="R35" s="100">
        <v>0</v>
      </c>
      <c r="S35" s="101">
        <v>0</v>
      </c>
      <c r="T35" s="101">
        <v>0</v>
      </c>
      <c r="U35" s="100">
        <v>0</v>
      </c>
      <c r="V35" s="101">
        <v>0</v>
      </c>
      <c r="W35" s="101">
        <v>0</v>
      </c>
      <c r="X35" s="100">
        <v>0</v>
      </c>
      <c r="Y35" s="101">
        <v>0</v>
      </c>
      <c r="Z35" s="101">
        <v>0</v>
      </c>
      <c r="AA35" s="107">
        <v>0</v>
      </c>
      <c r="AB35" s="98">
        <v>0</v>
      </c>
      <c r="AC35" s="98">
        <v>0</v>
      </c>
      <c r="AD35" s="98">
        <v>0</v>
      </c>
      <c r="AE35" s="98">
        <v>0</v>
      </c>
      <c r="AF35" s="99">
        <v>0</v>
      </c>
      <c r="AG35" s="107">
        <v>0</v>
      </c>
      <c r="AH35" s="98">
        <v>0</v>
      </c>
      <c r="AI35" s="98">
        <v>0</v>
      </c>
      <c r="AJ35" s="98">
        <v>0</v>
      </c>
      <c r="AK35" s="98">
        <v>0</v>
      </c>
      <c r="AL35" s="99">
        <v>0</v>
      </c>
      <c r="AM35" s="107">
        <v>0</v>
      </c>
      <c r="AN35" s="98">
        <v>0</v>
      </c>
      <c r="AO35" s="98">
        <v>0</v>
      </c>
      <c r="AP35" s="98">
        <v>0</v>
      </c>
      <c r="AQ35" s="98">
        <v>0</v>
      </c>
      <c r="AR35" s="99">
        <v>0</v>
      </c>
      <c r="AS35" s="100">
        <v>-2382</v>
      </c>
      <c r="AT35" s="101">
        <v>0</v>
      </c>
      <c r="AU35" s="102">
        <v>-2382</v>
      </c>
      <c r="AV35" s="103">
        <v>38976</v>
      </c>
      <c r="AW35" s="104">
        <v>35034</v>
      </c>
      <c r="AX35" s="104">
        <v>35078</v>
      </c>
      <c r="AY35" s="105">
        <v>38887</v>
      </c>
      <c r="AZ35" s="103">
        <v>0</v>
      </c>
      <c r="BA35" s="104">
        <v>0</v>
      </c>
      <c r="BB35" s="104">
        <v>0</v>
      </c>
      <c r="BC35" s="105">
        <v>0</v>
      </c>
      <c r="BD35" s="103">
        <v>38976</v>
      </c>
      <c r="BE35" s="104">
        <v>35034</v>
      </c>
      <c r="BF35" s="104">
        <v>35078</v>
      </c>
      <c r="BG35" s="105">
        <v>38887</v>
      </c>
      <c r="BH35" s="64">
        <f t="shared" si="1"/>
        <v>0</v>
      </c>
      <c r="BI35" s="106">
        <f t="shared" si="2"/>
        <v>-2581</v>
      </c>
    </row>
    <row r="36" spans="2:61">
      <c r="B36" s="89" t="s">
        <v>275</v>
      </c>
      <c r="C36" s="90">
        <f>'[1]LEA - Summary GASB75'!H36</f>
        <v>8963850</v>
      </c>
      <c r="D36" s="91">
        <f t="shared" si="0"/>
        <v>2219162.4168000002</v>
      </c>
      <c r="E36" s="92">
        <v>9104393</v>
      </c>
      <c r="F36" s="93">
        <v>2253959</v>
      </c>
      <c r="G36" s="94">
        <v>0.24756800000000001</v>
      </c>
      <c r="H36" s="94">
        <v>0.75243199999999999</v>
      </c>
      <c r="I36" s="100">
        <v>9104393</v>
      </c>
      <c r="J36" s="101">
        <v>2253956</v>
      </c>
      <c r="K36" s="102">
        <v>6850437</v>
      </c>
      <c r="L36" s="100">
        <v>840596</v>
      </c>
      <c r="M36" s="101">
        <v>208105</v>
      </c>
      <c r="N36" s="101">
        <v>632491</v>
      </c>
      <c r="O36" s="100">
        <v>0</v>
      </c>
      <c r="P36" s="101">
        <v>0</v>
      </c>
      <c r="Q36" s="101">
        <v>0</v>
      </c>
      <c r="R36" s="100">
        <v>0</v>
      </c>
      <c r="S36" s="101">
        <v>0</v>
      </c>
      <c r="T36" s="101">
        <v>0</v>
      </c>
      <c r="U36" s="100">
        <v>0</v>
      </c>
      <c r="V36" s="101">
        <v>0</v>
      </c>
      <c r="W36" s="101">
        <v>0</v>
      </c>
      <c r="X36" s="100">
        <v>441984</v>
      </c>
      <c r="Y36" s="101">
        <v>109421</v>
      </c>
      <c r="Z36" s="101">
        <v>332563</v>
      </c>
      <c r="AA36" s="107">
        <v>-44645</v>
      </c>
      <c r="AB36" s="98">
        <v>-44645</v>
      </c>
      <c r="AC36" s="98">
        <v>-44645</v>
      </c>
      <c r="AD36" s="98">
        <v>-44645</v>
      </c>
      <c r="AE36" s="98">
        <v>-44645</v>
      </c>
      <c r="AF36" s="99">
        <v>-218759</v>
      </c>
      <c r="AG36" s="107">
        <v>-11052.673360000001</v>
      </c>
      <c r="AH36" s="98">
        <v>-11052.673360000001</v>
      </c>
      <c r="AI36" s="98">
        <v>-11052.673360000001</v>
      </c>
      <c r="AJ36" s="98">
        <v>-11052.673360000001</v>
      </c>
      <c r="AK36" s="98">
        <v>-11052.673360000001</v>
      </c>
      <c r="AL36" s="99">
        <v>-54157.728112000004</v>
      </c>
      <c r="AM36" s="107">
        <v>-33592.326639999999</v>
      </c>
      <c r="AN36" s="98">
        <v>-33592.326639999999</v>
      </c>
      <c r="AO36" s="98">
        <v>-33592.326639999999</v>
      </c>
      <c r="AP36" s="98">
        <v>-33592.326639999999</v>
      </c>
      <c r="AQ36" s="98">
        <v>-33592.326639999999</v>
      </c>
      <c r="AR36" s="99">
        <v>-164601.27188799999</v>
      </c>
      <c r="AS36" s="100">
        <v>-293683</v>
      </c>
      <c r="AT36" s="101">
        <v>-77365</v>
      </c>
      <c r="AU36" s="102">
        <v>-216318</v>
      </c>
      <c r="AV36" s="103">
        <v>9870611</v>
      </c>
      <c r="AW36" s="104">
        <v>8376215</v>
      </c>
      <c r="AX36" s="104">
        <v>7893076</v>
      </c>
      <c r="AY36" s="105">
        <v>10557865</v>
      </c>
      <c r="AZ36" s="103">
        <v>2443647</v>
      </c>
      <c r="BA36" s="104">
        <v>2073683</v>
      </c>
      <c r="BB36" s="104">
        <v>1954073</v>
      </c>
      <c r="BC36" s="105">
        <v>2613790</v>
      </c>
      <c r="BD36" s="103">
        <v>7426964</v>
      </c>
      <c r="BE36" s="104">
        <v>6302532</v>
      </c>
      <c r="BF36" s="104">
        <v>5939003</v>
      </c>
      <c r="BG36" s="105">
        <v>7944075</v>
      </c>
      <c r="BH36" s="64">
        <f t="shared" si="1"/>
        <v>34796.583199999761</v>
      </c>
      <c r="BI36" s="106">
        <f t="shared" si="2"/>
        <v>105746.41679999977</v>
      </c>
    </row>
    <row r="37" spans="2:61">
      <c r="B37" s="89" t="s">
        <v>276</v>
      </c>
      <c r="C37" s="90">
        <f>'[1]LEA - Summary GASB75'!H37</f>
        <v>0</v>
      </c>
      <c r="D37" s="91">
        <f t="shared" si="0"/>
        <v>0</v>
      </c>
      <c r="E37" s="92">
        <v>0</v>
      </c>
      <c r="F37" s="93">
        <v>0</v>
      </c>
      <c r="G37" s="94">
        <v>0</v>
      </c>
      <c r="H37" s="94">
        <v>1</v>
      </c>
      <c r="I37" s="100">
        <v>0</v>
      </c>
      <c r="J37" s="101">
        <v>0</v>
      </c>
      <c r="K37" s="102">
        <v>0</v>
      </c>
      <c r="L37" s="100">
        <v>0</v>
      </c>
      <c r="M37" s="101">
        <v>0</v>
      </c>
      <c r="N37" s="101">
        <v>0</v>
      </c>
      <c r="O37" s="100">
        <v>0</v>
      </c>
      <c r="P37" s="101">
        <v>0</v>
      </c>
      <c r="Q37" s="101">
        <v>0</v>
      </c>
      <c r="R37" s="100">
        <v>0</v>
      </c>
      <c r="S37" s="101">
        <v>0</v>
      </c>
      <c r="T37" s="101">
        <v>0</v>
      </c>
      <c r="U37" s="100">
        <v>0</v>
      </c>
      <c r="V37" s="101">
        <v>0</v>
      </c>
      <c r="W37" s="101">
        <v>0</v>
      </c>
      <c r="X37" s="100">
        <v>0</v>
      </c>
      <c r="Y37" s="101">
        <v>0</v>
      </c>
      <c r="Z37" s="101">
        <v>0</v>
      </c>
      <c r="AA37" s="107">
        <v>0</v>
      </c>
      <c r="AB37" s="98">
        <v>0</v>
      </c>
      <c r="AC37" s="98">
        <v>0</v>
      </c>
      <c r="AD37" s="98">
        <v>0</v>
      </c>
      <c r="AE37" s="98">
        <v>0</v>
      </c>
      <c r="AF37" s="99">
        <v>0</v>
      </c>
      <c r="AG37" s="107">
        <v>0</v>
      </c>
      <c r="AH37" s="98">
        <v>0</v>
      </c>
      <c r="AI37" s="98">
        <v>0</v>
      </c>
      <c r="AJ37" s="98">
        <v>0</v>
      </c>
      <c r="AK37" s="98">
        <v>0</v>
      </c>
      <c r="AL37" s="99">
        <v>0</v>
      </c>
      <c r="AM37" s="107">
        <v>0</v>
      </c>
      <c r="AN37" s="98">
        <v>0</v>
      </c>
      <c r="AO37" s="98">
        <v>0</v>
      </c>
      <c r="AP37" s="98">
        <v>0</v>
      </c>
      <c r="AQ37" s="98">
        <v>0</v>
      </c>
      <c r="AR37" s="99">
        <v>0</v>
      </c>
      <c r="AS37" s="100">
        <v>0</v>
      </c>
      <c r="AT37" s="101">
        <v>0</v>
      </c>
      <c r="AU37" s="102">
        <v>0</v>
      </c>
      <c r="AV37" s="103">
        <v>0</v>
      </c>
      <c r="AW37" s="104">
        <v>0</v>
      </c>
      <c r="AX37" s="104">
        <v>0</v>
      </c>
      <c r="AY37" s="105">
        <v>0</v>
      </c>
      <c r="AZ37" s="103">
        <v>0</v>
      </c>
      <c r="BA37" s="104">
        <v>0</v>
      </c>
      <c r="BB37" s="104">
        <v>0</v>
      </c>
      <c r="BC37" s="105">
        <v>0</v>
      </c>
      <c r="BD37" s="103">
        <v>0</v>
      </c>
      <c r="BE37" s="104">
        <v>0</v>
      </c>
      <c r="BF37" s="104">
        <v>0</v>
      </c>
      <c r="BG37" s="105">
        <v>0</v>
      </c>
      <c r="BH37" s="64">
        <f t="shared" si="1"/>
        <v>0</v>
      </c>
      <c r="BI37" s="106">
        <f t="shared" si="2"/>
        <v>0</v>
      </c>
    </row>
    <row r="38" spans="2:61">
      <c r="B38" s="89" t="s">
        <v>277</v>
      </c>
      <c r="C38" s="90">
        <f>'[1]LEA - Summary GASB75'!H38</f>
        <v>6052671</v>
      </c>
      <c r="D38" s="91">
        <f t="shared" si="0"/>
        <v>1748913.232779</v>
      </c>
      <c r="E38" s="92">
        <v>5933858</v>
      </c>
      <c r="F38" s="93">
        <v>1714583</v>
      </c>
      <c r="G38" s="94">
        <v>0.28894900000000001</v>
      </c>
      <c r="H38" s="94">
        <v>0.71105099999999999</v>
      </c>
      <c r="I38" s="100">
        <v>5933858</v>
      </c>
      <c r="J38" s="101">
        <v>1714582</v>
      </c>
      <c r="K38" s="102">
        <v>4219276</v>
      </c>
      <c r="L38" s="100">
        <v>477403</v>
      </c>
      <c r="M38" s="101">
        <v>137945</v>
      </c>
      <c r="N38" s="101">
        <v>339458</v>
      </c>
      <c r="O38" s="100">
        <v>0</v>
      </c>
      <c r="P38" s="101">
        <v>0</v>
      </c>
      <c r="Q38" s="101">
        <v>0</v>
      </c>
      <c r="R38" s="100">
        <v>0</v>
      </c>
      <c r="S38" s="101">
        <v>0</v>
      </c>
      <c r="T38" s="101">
        <v>0</v>
      </c>
      <c r="U38" s="100">
        <v>0</v>
      </c>
      <c r="V38" s="101">
        <v>0</v>
      </c>
      <c r="W38" s="101">
        <v>0</v>
      </c>
      <c r="X38" s="100">
        <v>247176</v>
      </c>
      <c r="Y38" s="101">
        <v>71421</v>
      </c>
      <c r="Z38" s="101">
        <v>175755</v>
      </c>
      <c r="AA38" s="107">
        <v>-27464</v>
      </c>
      <c r="AB38" s="98">
        <v>-27464</v>
      </c>
      <c r="AC38" s="98">
        <v>-27464</v>
      </c>
      <c r="AD38" s="98">
        <v>-27464</v>
      </c>
      <c r="AE38" s="98">
        <v>-27464</v>
      </c>
      <c r="AF38" s="99">
        <v>-109856</v>
      </c>
      <c r="AG38" s="107">
        <v>-7935.6953360000007</v>
      </c>
      <c r="AH38" s="98">
        <v>-7935.6953360000007</v>
      </c>
      <c r="AI38" s="98">
        <v>-7935.6953360000007</v>
      </c>
      <c r="AJ38" s="98">
        <v>-7935.6953360000007</v>
      </c>
      <c r="AK38" s="98">
        <v>-7935.6953360000007</v>
      </c>
      <c r="AL38" s="99">
        <v>-31742.781344000003</v>
      </c>
      <c r="AM38" s="107">
        <v>-19528.304663999999</v>
      </c>
      <c r="AN38" s="98">
        <v>-19528.304663999999</v>
      </c>
      <c r="AO38" s="98">
        <v>-19528.304663999999</v>
      </c>
      <c r="AP38" s="98">
        <v>-19528.304663999999</v>
      </c>
      <c r="AQ38" s="98">
        <v>-19528.304663999999</v>
      </c>
      <c r="AR38" s="99">
        <v>-78113.218655999997</v>
      </c>
      <c r="AS38" s="100">
        <v>-373156</v>
      </c>
      <c r="AT38" s="101">
        <v>-78677</v>
      </c>
      <c r="AU38" s="102">
        <v>-294479</v>
      </c>
      <c r="AV38" s="103">
        <v>6367339</v>
      </c>
      <c r="AW38" s="104">
        <v>5524958</v>
      </c>
      <c r="AX38" s="104">
        <v>5296007</v>
      </c>
      <c r="AY38" s="105">
        <v>6689515</v>
      </c>
      <c r="AZ38" s="103">
        <v>1839836</v>
      </c>
      <c r="BA38" s="104">
        <v>1596431</v>
      </c>
      <c r="BB38" s="104">
        <v>1530276</v>
      </c>
      <c r="BC38" s="105">
        <v>1932929</v>
      </c>
      <c r="BD38" s="103">
        <v>4527503</v>
      </c>
      <c r="BE38" s="104">
        <v>3928527</v>
      </c>
      <c r="BF38" s="104">
        <v>3765731</v>
      </c>
      <c r="BG38" s="105">
        <v>4756586</v>
      </c>
      <c r="BH38" s="64">
        <f t="shared" si="1"/>
        <v>-34330.232778999954</v>
      </c>
      <c r="BI38" s="106">
        <f t="shared" si="2"/>
        <v>-84482.767221000046</v>
      </c>
    </row>
    <row r="39" spans="2:61">
      <c r="B39" s="89" t="s">
        <v>278</v>
      </c>
      <c r="C39" s="90">
        <f>'[1]LEA - Summary GASB75'!H39</f>
        <v>270541</v>
      </c>
      <c r="D39" s="91">
        <f t="shared" si="0"/>
        <v>88051.356023999993</v>
      </c>
      <c r="E39" s="92">
        <v>280289</v>
      </c>
      <c r="F39" s="93">
        <v>91224</v>
      </c>
      <c r="G39" s="94">
        <v>0.32546399999999998</v>
      </c>
      <c r="H39" s="94">
        <v>0.67453600000000002</v>
      </c>
      <c r="I39" s="100">
        <v>280289</v>
      </c>
      <c r="J39" s="101">
        <v>91224</v>
      </c>
      <c r="K39" s="102">
        <v>189065</v>
      </c>
      <c r="L39" s="100">
        <v>32118</v>
      </c>
      <c r="M39" s="101">
        <v>10453</v>
      </c>
      <c r="N39" s="101">
        <v>21665</v>
      </c>
      <c r="O39" s="100">
        <v>0</v>
      </c>
      <c r="P39" s="101">
        <v>0</v>
      </c>
      <c r="Q39" s="101">
        <v>0</v>
      </c>
      <c r="R39" s="100">
        <v>0</v>
      </c>
      <c r="S39" s="101">
        <v>0</v>
      </c>
      <c r="T39" s="101">
        <v>0</v>
      </c>
      <c r="U39" s="100">
        <v>0</v>
      </c>
      <c r="V39" s="101">
        <v>0</v>
      </c>
      <c r="W39" s="101">
        <v>0</v>
      </c>
      <c r="X39" s="100">
        <v>14300</v>
      </c>
      <c r="Y39" s="101">
        <v>4654</v>
      </c>
      <c r="Z39" s="101">
        <v>9646</v>
      </c>
      <c r="AA39" s="107">
        <v>-1312</v>
      </c>
      <c r="AB39" s="98">
        <v>-1312</v>
      </c>
      <c r="AC39" s="98">
        <v>-1312</v>
      </c>
      <c r="AD39" s="98">
        <v>-1312</v>
      </c>
      <c r="AE39" s="98">
        <v>-1312</v>
      </c>
      <c r="AF39" s="99">
        <v>-7740</v>
      </c>
      <c r="AG39" s="107">
        <v>-427.00876799999998</v>
      </c>
      <c r="AH39" s="98">
        <v>-427.00876799999998</v>
      </c>
      <c r="AI39" s="98">
        <v>-427.00876799999998</v>
      </c>
      <c r="AJ39" s="98">
        <v>-427.00876799999998</v>
      </c>
      <c r="AK39" s="98">
        <v>-427.00876799999998</v>
      </c>
      <c r="AL39" s="99">
        <v>-2519.0913599999999</v>
      </c>
      <c r="AM39" s="107">
        <v>-884.99123200000008</v>
      </c>
      <c r="AN39" s="98">
        <v>-884.99123200000008</v>
      </c>
      <c r="AO39" s="98">
        <v>-884.99123200000008</v>
      </c>
      <c r="AP39" s="98">
        <v>-884.99123200000008</v>
      </c>
      <c r="AQ39" s="98">
        <v>-884.99123200000008</v>
      </c>
      <c r="AR39" s="99">
        <v>-5220.9086399999997</v>
      </c>
      <c r="AS39" s="100">
        <v>-9996</v>
      </c>
      <c r="AT39" s="101">
        <v>-3591</v>
      </c>
      <c r="AU39" s="102">
        <v>-6405</v>
      </c>
      <c r="AV39" s="103">
        <v>304729</v>
      </c>
      <c r="AW39" s="104">
        <v>257344</v>
      </c>
      <c r="AX39" s="104">
        <v>242559</v>
      </c>
      <c r="AY39" s="105">
        <v>326398</v>
      </c>
      <c r="AZ39" s="103">
        <v>99178</v>
      </c>
      <c r="BA39" s="104">
        <v>83756</v>
      </c>
      <c r="BB39" s="104">
        <v>78944</v>
      </c>
      <c r="BC39" s="105">
        <v>106231</v>
      </c>
      <c r="BD39" s="103">
        <v>205551</v>
      </c>
      <c r="BE39" s="104">
        <v>173588</v>
      </c>
      <c r="BF39" s="104">
        <v>163615</v>
      </c>
      <c r="BG39" s="105">
        <v>220167</v>
      </c>
      <c r="BH39" s="64">
        <f t="shared" si="1"/>
        <v>3172.6439760000067</v>
      </c>
      <c r="BI39" s="106">
        <f t="shared" si="2"/>
        <v>6575.3560239999788</v>
      </c>
    </row>
    <row r="40" spans="2:61">
      <c r="B40" s="89" t="s">
        <v>279</v>
      </c>
      <c r="C40" s="90">
        <f>'[1]LEA - Summary GASB75'!H40</f>
        <v>2447220</v>
      </c>
      <c r="D40" s="91">
        <f t="shared" si="0"/>
        <v>778176.80447999993</v>
      </c>
      <c r="E40" s="92">
        <v>2524935</v>
      </c>
      <c r="F40" s="93">
        <v>802890</v>
      </c>
      <c r="G40" s="94">
        <v>0.31798399999999999</v>
      </c>
      <c r="H40" s="94">
        <v>0.68201599999999996</v>
      </c>
      <c r="I40" s="100">
        <v>2524935</v>
      </c>
      <c r="J40" s="101">
        <v>802889</v>
      </c>
      <c r="K40" s="102">
        <v>1722046</v>
      </c>
      <c r="L40" s="100">
        <v>245765</v>
      </c>
      <c r="M40" s="101">
        <v>78149</v>
      </c>
      <c r="N40" s="101">
        <v>167616</v>
      </c>
      <c r="O40" s="100">
        <v>0</v>
      </c>
      <c r="P40" s="101">
        <v>0</v>
      </c>
      <c r="Q40" s="101">
        <v>0</v>
      </c>
      <c r="R40" s="100">
        <v>0</v>
      </c>
      <c r="S40" s="101">
        <v>0</v>
      </c>
      <c r="T40" s="101">
        <v>0</v>
      </c>
      <c r="U40" s="100">
        <v>0</v>
      </c>
      <c r="V40" s="101">
        <v>0</v>
      </c>
      <c r="W40" s="101">
        <v>0</v>
      </c>
      <c r="X40" s="100">
        <v>103242</v>
      </c>
      <c r="Y40" s="101">
        <v>32829</v>
      </c>
      <c r="Z40" s="101">
        <v>70413</v>
      </c>
      <c r="AA40" s="107">
        <v>-11471</v>
      </c>
      <c r="AB40" s="98">
        <v>-11471</v>
      </c>
      <c r="AC40" s="98">
        <v>-11471</v>
      </c>
      <c r="AD40" s="98">
        <v>-11471</v>
      </c>
      <c r="AE40" s="98">
        <v>-11471</v>
      </c>
      <c r="AF40" s="99">
        <v>-45887</v>
      </c>
      <c r="AG40" s="107">
        <v>-3647.5944639999998</v>
      </c>
      <c r="AH40" s="98">
        <v>-3647.5944639999998</v>
      </c>
      <c r="AI40" s="98">
        <v>-3647.5944639999998</v>
      </c>
      <c r="AJ40" s="98">
        <v>-3647.5944639999998</v>
      </c>
      <c r="AK40" s="98">
        <v>-3647.5944639999998</v>
      </c>
      <c r="AL40" s="99">
        <v>-14591.331807999999</v>
      </c>
      <c r="AM40" s="107">
        <v>-7823.4055360000002</v>
      </c>
      <c r="AN40" s="98">
        <v>-7823.4055360000002</v>
      </c>
      <c r="AO40" s="98">
        <v>-7823.4055360000002</v>
      </c>
      <c r="AP40" s="98">
        <v>-7823.4055360000002</v>
      </c>
      <c r="AQ40" s="98">
        <v>-7823.4055360000002</v>
      </c>
      <c r="AR40" s="99">
        <v>-31295.668192000001</v>
      </c>
      <c r="AS40" s="100">
        <v>-87287</v>
      </c>
      <c r="AT40" s="101">
        <v>-23481</v>
      </c>
      <c r="AU40" s="102">
        <v>-63806</v>
      </c>
      <c r="AV40" s="103">
        <v>2706528</v>
      </c>
      <c r="AW40" s="104">
        <v>2351261</v>
      </c>
      <c r="AX40" s="104">
        <v>2232899</v>
      </c>
      <c r="AY40" s="105">
        <v>2871640</v>
      </c>
      <c r="AZ40" s="103">
        <v>860633</v>
      </c>
      <c r="BA40" s="104">
        <v>747663</v>
      </c>
      <c r="BB40" s="104">
        <v>710026</v>
      </c>
      <c r="BC40" s="105">
        <v>913136</v>
      </c>
      <c r="BD40" s="103">
        <v>1845895</v>
      </c>
      <c r="BE40" s="104">
        <v>1603598</v>
      </c>
      <c r="BF40" s="104">
        <v>1522873</v>
      </c>
      <c r="BG40" s="105">
        <v>1958504</v>
      </c>
      <c r="BH40" s="64">
        <f t="shared" si="1"/>
        <v>24713.195520000067</v>
      </c>
      <c r="BI40" s="106">
        <f t="shared" si="2"/>
        <v>53001.804479999933</v>
      </c>
    </row>
    <row r="41" spans="2:61">
      <c r="B41" s="89" t="s">
        <v>280</v>
      </c>
      <c r="C41" s="90">
        <f>'[1]LEA - Summary GASB75'!H41</f>
        <v>1594443</v>
      </c>
      <c r="D41" s="91">
        <f t="shared" si="0"/>
        <v>577513.63237200002</v>
      </c>
      <c r="E41" s="92">
        <v>1572271</v>
      </c>
      <c r="F41" s="93">
        <v>569483</v>
      </c>
      <c r="G41" s="94">
        <v>0.36220400000000003</v>
      </c>
      <c r="H41" s="94">
        <v>0.63779600000000003</v>
      </c>
      <c r="I41" s="100">
        <v>1572271</v>
      </c>
      <c r="J41" s="101">
        <v>569483</v>
      </c>
      <c r="K41" s="102">
        <v>1002788</v>
      </c>
      <c r="L41" s="100">
        <v>133480</v>
      </c>
      <c r="M41" s="101">
        <v>48347</v>
      </c>
      <c r="N41" s="101">
        <v>85133</v>
      </c>
      <c r="O41" s="100">
        <v>0</v>
      </c>
      <c r="P41" s="101">
        <v>0</v>
      </c>
      <c r="Q41" s="101">
        <v>0</v>
      </c>
      <c r="R41" s="100">
        <v>0</v>
      </c>
      <c r="S41" s="101">
        <v>0</v>
      </c>
      <c r="T41" s="101">
        <v>0</v>
      </c>
      <c r="U41" s="100">
        <v>0</v>
      </c>
      <c r="V41" s="101">
        <v>0</v>
      </c>
      <c r="W41" s="101">
        <v>0</v>
      </c>
      <c r="X41" s="100">
        <v>68504</v>
      </c>
      <c r="Y41" s="101">
        <v>24812</v>
      </c>
      <c r="Z41" s="101">
        <v>43692</v>
      </c>
      <c r="AA41" s="107">
        <v>-7062</v>
      </c>
      <c r="AB41" s="98">
        <v>-7062</v>
      </c>
      <c r="AC41" s="98">
        <v>-7062</v>
      </c>
      <c r="AD41" s="98">
        <v>-7062</v>
      </c>
      <c r="AE41" s="98">
        <v>-7062</v>
      </c>
      <c r="AF41" s="99">
        <v>-33194</v>
      </c>
      <c r="AG41" s="107">
        <v>-2557.8846480000002</v>
      </c>
      <c r="AH41" s="98">
        <v>-2557.8846480000002</v>
      </c>
      <c r="AI41" s="98">
        <v>-2557.8846480000002</v>
      </c>
      <c r="AJ41" s="98">
        <v>-2557.8846480000002</v>
      </c>
      <c r="AK41" s="98">
        <v>-2557.8846480000002</v>
      </c>
      <c r="AL41" s="99">
        <v>-12022.999576</v>
      </c>
      <c r="AM41" s="107">
        <v>-4504.1153519999998</v>
      </c>
      <c r="AN41" s="98">
        <v>-4504.1153519999998</v>
      </c>
      <c r="AO41" s="98">
        <v>-4504.1153519999998</v>
      </c>
      <c r="AP41" s="98">
        <v>-4504.1153519999998</v>
      </c>
      <c r="AQ41" s="98">
        <v>-4504.1153519999998</v>
      </c>
      <c r="AR41" s="99">
        <v>-21171.000423999998</v>
      </c>
      <c r="AS41" s="100">
        <v>-91392</v>
      </c>
      <c r="AT41" s="101">
        <v>-36741</v>
      </c>
      <c r="AU41" s="102">
        <v>-54651</v>
      </c>
      <c r="AV41" s="103">
        <v>1691842</v>
      </c>
      <c r="AW41" s="104">
        <v>1459657</v>
      </c>
      <c r="AX41" s="104">
        <v>1393327</v>
      </c>
      <c r="AY41" s="105">
        <v>1786751</v>
      </c>
      <c r="AZ41" s="103">
        <v>612792</v>
      </c>
      <c r="BA41" s="104">
        <v>528694</v>
      </c>
      <c r="BB41" s="104">
        <v>504669</v>
      </c>
      <c r="BC41" s="105">
        <v>647168</v>
      </c>
      <c r="BD41" s="103">
        <v>1079050</v>
      </c>
      <c r="BE41" s="104">
        <v>930963</v>
      </c>
      <c r="BF41" s="104">
        <v>888658</v>
      </c>
      <c r="BG41" s="105">
        <v>1139583</v>
      </c>
      <c r="BH41" s="64">
        <f t="shared" si="1"/>
        <v>-8030.6323720000219</v>
      </c>
      <c r="BI41" s="106">
        <f t="shared" si="2"/>
        <v>-14141.367627999978</v>
      </c>
    </row>
    <row r="42" spans="2:61">
      <c r="B42" s="89" t="s">
        <v>281</v>
      </c>
      <c r="C42" s="90">
        <f>'[1]LEA - Summary GASB75'!H42</f>
        <v>4887238</v>
      </c>
      <c r="D42" s="91">
        <f t="shared" si="0"/>
        <v>1281448.4653140001</v>
      </c>
      <c r="E42" s="92">
        <v>4784594</v>
      </c>
      <c r="F42" s="93">
        <v>1254535</v>
      </c>
      <c r="G42" s="94">
        <v>0.26220300000000002</v>
      </c>
      <c r="H42" s="94">
        <v>0.73779700000000004</v>
      </c>
      <c r="I42" s="100">
        <v>4784594</v>
      </c>
      <c r="J42" s="101">
        <v>1254535</v>
      </c>
      <c r="K42" s="102">
        <v>3530059</v>
      </c>
      <c r="L42" s="100">
        <v>396923</v>
      </c>
      <c r="M42" s="101">
        <v>104074</v>
      </c>
      <c r="N42" s="101">
        <v>292849</v>
      </c>
      <c r="O42" s="100">
        <v>0</v>
      </c>
      <c r="P42" s="101">
        <v>0</v>
      </c>
      <c r="Q42" s="101">
        <v>0</v>
      </c>
      <c r="R42" s="100">
        <v>0</v>
      </c>
      <c r="S42" s="101">
        <v>0</v>
      </c>
      <c r="T42" s="101">
        <v>0</v>
      </c>
      <c r="U42" s="100">
        <v>0</v>
      </c>
      <c r="V42" s="101">
        <v>0</v>
      </c>
      <c r="W42" s="101">
        <v>0</v>
      </c>
      <c r="X42" s="100">
        <v>187905</v>
      </c>
      <c r="Y42" s="101">
        <v>49269</v>
      </c>
      <c r="Z42" s="101">
        <v>138636</v>
      </c>
      <c r="AA42" s="107">
        <v>-20424</v>
      </c>
      <c r="AB42" s="98">
        <v>-20424</v>
      </c>
      <c r="AC42" s="98">
        <v>-20424</v>
      </c>
      <c r="AD42" s="98">
        <v>-20424</v>
      </c>
      <c r="AE42" s="98">
        <v>-20424</v>
      </c>
      <c r="AF42" s="99">
        <v>-85785</v>
      </c>
      <c r="AG42" s="107">
        <v>-5355.2340720000002</v>
      </c>
      <c r="AH42" s="98">
        <v>-5355.2340720000002</v>
      </c>
      <c r="AI42" s="98">
        <v>-5355.2340720000002</v>
      </c>
      <c r="AJ42" s="98">
        <v>-5355.2340720000002</v>
      </c>
      <c r="AK42" s="98">
        <v>-5355.2340720000002</v>
      </c>
      <c r="AL42" s="99">
        <v>-22493.084355000003</v>
      </c>
      <c r="AM42" s="107">
        <v>-15068.765928000001</v>
      </c>
      <c r="AN42" s="98">
        <v>-15068.765928000001</v>
      </c>
      <c r="AO42" s="98">
        <v>-15068.765928000001</v>
      </c>
      <c r="AP42" s="98">
        <v>-15068.765928000001</v>
      </c>
      <c r="AQ42" s="98">
        <v>-15068.765928000001</v>
      </c>
      <c r="AR42" s="99">
        <v>-63291.915645000001</v>
      </c>
      <c r="AS42" s="100">
        <v>-333823</v>
      </c>
      <c r="AT42" s="101">
        <v>-99429</v>
      </c>
      <c r="AU42" s="102">
        <v>-234394</v>
      </c>
      <c r="AV42" s="103">
        <v>5112597</v>
      </c>
      <c r="AW42" s="104">
        <v>4469544</v>
      </c>
      <c r="AX42" s="104">
        <v>4263318</v>
      </c>
      <c r="AY42" s="105">
        <v>5399128</v>
      </c>
      <c r="AZ42" s="103">
        <v>1340538</v>
      </c>
      <c r="BA42" s="104">
        <v>1171928</v>
      </c>
      <c r="BB42" s="104">
        <v>1117855</v>
      </c>
      <c r="BC42" s="105">
        <v>1415668</v>
      </c>
      <c r="BD42" s="103">
        <v>3772059</v>
      </c>
      <c r="BE42" s="104">
        <v>3297616</v>
      </c>
      <c r="BF42" s="104">
        <v>3145463</v>
      </c>
      <c r="BG42" s="105">
        <v>3983460</v>
      </c>
      <c r="BH42" s="64">
        <f t="shared" si="1"/>
        <v>-26913.465314000146</v>
      </c>
      <c r="BI42" s="106">
        <f t="shared" si="2"/>
        <v>-75730.534686000086</v>
      </c>
    </row>
    <row r="43" spans="2:61">
      <c r="B43" s="89" t="s">
        <v>282</v>
      </c>
      <c r="C43" s="90">
        <f>'[1]LEA - Summary GASB75'!H43</f>
        <v>11724524</v>
      </c>
      <c r="D43" s="91">
        <f t="shared" si="0"/>
        <v>2819572.1541400002</v>
      </c>
      <c r="E43" s="92">
        <v>11915237</v>
      </c>
      <c r="F43" s="93">
        <v>2865435</v>
      </c>
      <c r="G43" s="94">
        <v>0.240485</v>
      </c>
      <c r="H43" s="94">
        <v>0.75951499999999994</v>
      </c>
      <c r="I43" s="100">
        <v>11915237</v>
      </c>
      <c r="J43" s="101">
        <v>2865436</v>
      </c>
      <c r="K43" s="102">
        <v>9049801</v>
      </c>
      <c r="L43" s="100">
        <v>990115</v>
      </c>
      <c r="M43" s="101">
        <v>238108</v>
      </c>
      <c r="N43" s="101">
        <v>752007</v>
      </c>
      <c r="O43" s="100">
        <v>0</v>
      </c>
      <c r="P43" s="101">
        <v>0</v>
      </c>
      <c r="Q43" s="101">
        <v>0</v>
      </c>
      <c r="R43" s="100">
        <v>0</v>
      </c>
      <c r="S43" s="101">
        <v>0</v>
      </c>
      <c r="T43" s="101">
        <v>0</v>
      </c>
      <c r="U43" s="100">
        <v>0</v>
      </c>
      <c r="V43" s="101">
        <v>0</v>
      </c>
      <c r="W43" s="101">
        <v>0</v>
      </c>
      <c r="X43" s="100">
        <v>487514</v>
      </c>
      <c r="Y43" s="101">
        <v>117240</v>
      </c>
      <c r="Z43" s="101">
        <v>370274</v>
      </c>
      <c r="AA43" s="107">
        <v>-58737</v>
      </c>
      <c r="AB43" s="98">
        <v>-58737</v>
      </c>
      <c r="AC43" s="98">
        <v>-58737</v>
      </c>
      <c r="AD43" s="98">
        <v>-58737</v>
      </c>
      <c r="AE43" s="98">
        <v>-58737</v>
      </c>
      <c r="AF43" s="99">
        <v>-193829</v>
      </c>
      <c r="AG43" s="107">
        <v>-14125.367445</v>
      </c>
      <c r="AH43" s="98">
        <v>-14125.367445</v>
      </c>
      <c r="AI43" s="98">
        <v>-14125.367445</v>
      </c>
      <c r="AJ43" s="98">
        <v>-14125.367445</v>
      </c>
      <c r="AK43" s="98">
        <v>-14125.367445</v>
      </c>
      <c r="AL43" s="99">
        <v>-46612.967065000004</v>
      </c>
      <c r="AM43" s="107">
        <v>-44611.632555000004</v>
      </c>
      <c r="AN43" s="98">
        <v>-44611.632555000004</v>
      </c>
      <c r="AO43" s="98">
        <v>-44611.632555000004</v>
      </c>
      <c r="AP43" s="98">
        <v>-44611.632555000004</v>
      </c>
      <c r="AQ43" s="98">
        <v>-44611.632555000004</v>
      </c>
      <c r="AR43" s="99">
        <v>-147216.032935</v>
      </c>
      <c r="AS43" s="100">
        <v>-408418</v>
      </c>
      <c r="AT43" s="101">
        <v>-103068</v>
      </c>
      <c r="AU43" s="102">
        <v>-305350</v>
      </c>
      <c r="AV43" s="103">
        <v>12774687</v>
      </c>
      <c r="AW43" s="104">
        <v>11092187</v>
      </c>
      <c r="AX43" s="104">
        <v>10574402</v>
      </c>
      <c r="AY43" s="105">
        <v>13492722</v>
      </c>
      <c r="AZ43" s="103">
        <v>3072121</v>
      </c>
      <c r="BA43" s="104">
        <v>2667505</v>
      </c>
      <c r="BB43" s="104">
        <v>2542985</v>
      </c>
      <c r="BC43" s="105">
        <v>3244797</v>
      </c>
      <c r="BD43" s="103">
        <v>9702566</v>
      </c>
      <c r="BE43" s="104">
        <v>8424682</v>
      </c>
      <c r="BF43" s="104">
        <v>8031417</v>
      </c>
      <c r="BG43" s="105">
        <v>10247925</v>
      </c>
      <c r="BH43" s="64">
        <f t="shared" si="1"/>
        <v>45862.845859999768</v>
      </c>
      <c r="BI43" s="106">
        <f t="shared" si="2"/>
        <v>144850.1541399993</v>
      </c>
    </row>
    <row r="44" spans="2:61">
      <c r="B44" s="89" t="s">
        <v>283</v>
      </c>
      <c r="C44" s="90">
        <f>'[1]LEA - Summary GASB75'!H44</f>
        <v>14951075</v>
      </c>
      <c r="D44" s="91">
        <f t="shared" si="0"/>
        <v>2702750.6809749999</v>
      </c>
      <c r="E44" s="92">
        <v>14681153</v>
      </c>
      <c r="F44" s="93">
        <v>2653956</v>
      </c>
      <c r="G44" s="94">
        <v>0.18077299999999999</v>
      </c>
      <c r="H44" s="94">
        <v>0.81922700000000004</v>
      </c>
      <c r="I44" s="100">
        <v>14681153</v>
      </c>
      <c r="J44" s="101">
        <v>2653956</v>
      </c>
      <c r="K44" s="102">
        <v>12027197</v>
      </c>
      <c r="L44" s="100">
        <v>1198048</v>
      </c>
      <c r="M44" s="101">
        <v>216575</v>
      </c>
      <c r="N44" s="101">
        <v>981473</v>
      </c>
      <c r="O44" s="100">
        <v>0</v>
      </c>
      <c r="P44" s="101">
        <v>0</v>
      </c>
      <c r="Q44" s="101">
        <v>0</v>
      </c>
      <c r="R44" s="100">
        <v>0</v>
      </c>
      <c r="S44" s="101">
        <v>0</v>
      </c>
      <c r="T44" s="101">
        <v>0</v>
      </c>
      <c r="U44" s="100">
        <v>0</v>
      </c>
      <c r="V44" s="101">
        <v>0</v>
      </c>
      <c r="W44" s="101">
        <v>0</v>
      </c>
      <c r="X44" s="100">
        <v>490416</v>
      </c>
      <c r="Y44" s="101">
        <v>88654</v>
      </c>
      <c r="Z44" s="101">
        <v>401762</v>
      </c>
      <c r="AA44" s="107">
        <v>-63690</v>
      </c>
      <c r="AB44" s="98">
        <v>-63690</v>
      </c>
      <c r="AC44" s="98">
        <v>-63690</v>
      </c>
      <c r="AD44" s="98">
        <v>-63690</v>
      </c>
      <c r="AE44" s="98">
        <v>-63690</v>
      </c>
      <c r="AF44" s="99">
        <v>-171966</v>
      </c>
      <c r="AG44" s="107">
        <v>-11513.432369999999</v>
      </c>
      <c r="AH44" s="98">
        <v>-11513.432369999999</v>
      </c>
      <c r="AI44" s="98">
        <v>-11513.432369999999</v>
      </c>
      <c r="AJ44" s="98">
        <v>-11513.432369999999</v>
      </c>
      <c r="AK44" s="98">
        <v>-11513.432369999999</v>
      </c>
      <c r="AL44" s="99">
        <v>-31086.809717999997</v>
      </c>
      <c r="AM44" s="107">
        <v>-52176.567630000005</v>
      </c>
      <c r="AN44" s="98">
        <v>-52176.567630000005</v>
      </c>
      <c r="AO44" s="98">
        <v>-52176.567630000005</v>
      </c>
      <c r="AP44" s="98">
        <v>-52176.567630000005</v>
      </c>
      <c r="AQ44" s="98">
        <v>-52176.567630000005</v>
      </c>
      <c r="AR44" s="99">
        <v>-140879.190282</v>
      </c>
      <c r="AS44" s="100">
        <v>-1100681</v>
      </c>
      <c r="AT44" s="101">
        <v>-175154</v>
      </c>
      <c r="AU44" s="102">
        <v>-925527</v>
      </c>
      <c r="AV44" s="103">
        <v>15552548</v>
      </c>
      <c r="AW44" s="104">
        <v>13843379</v>
      </c>
      <c r="AX44" s="104">
        <v>13302827</v>
      </c>
      <c r="AY44" s="105">
        <v>16284652</v>
      </c>
      <c r="AZ44" s="103">
        <v>2811481</v>
      </c>
      <c r="BA44" s="104">
        <v>2502509</v>
      </c>
      <c r="BB44" s="104">
        <v>2404792</v>
      </c>
      <c r="BC44" s="105">
        <v>2943825</v>
      </c>
      <c r="BD44" s="103">
        <v>12741067</v>
      </c>
      <c r="BE44" s="104">
        <v>11340870</v>
      </c>
      <c r="BF44" s="104">
        <v>10898035</v>
      </c>
      <c r="BG44" s="105">
        <v>13340827</v>
      </c>
      <c r="BH44" s="64">
        <f t="shared" si="1"/>
        <v>-48794.680974999908</v>
      </c>
      <c r="BI44" s="106">
        <f t="shared" si="2"/>
        <v>-221127.31902500056</v>
      </c>
    </row>
    <row r="45" spans="2:61">
      <c r="B45" s="89" t="s">
        <v>284</v>
      </c>
      <c r="C45" s="90">
        <f>'[1]LEA - Summary GASB75'!H45</f>
        <v>132652</v>
      </c>
      <c r="D45" s="91">
        <f t="shared" si="0"/>
        <v>39220.818884</v>
      </c>
      <c r="E45" s="92">
        <v>147764</v>
      </c>
      <c r="F45" s="93">
        <v>43689</v>
      </c>
      <c r="G45" s="94">
        <v>0.29566700000000001</v>
      </c>
      <c r="H45" s="94">
        <v>0.70433299999999999</v>
      </c>
      <c r="I45" s="100">
        <v>147764</v>
      </c>
      <c r="J45" s="101">
        <v>43689</v>
      </c>
      <c r="K45" s="102">
        <v>104075</v>
      </c>
      <c r="L45" s="100">
        <v>26679</v>
      </c>
      <c r="M45" s="101">
        <v>7888</v>
      </c>
      <c r="N45" s="101">
        <v>18791</v>
      </c>
      <c r="O45" s="100">
        <v>0</v>
      </c>
      <c r="P45" s="101">
        <v>0</v>
      </c>
      <c r="Q45" s="101">
        <v>0</v>
      </c>
      <c r="R45" s="100">
        <v>0</v>
      </c>
      <c r="S45" s="101">
        <v>0</v>
      </c>
      <c r="T45" s="101">
        <v>0</v>
      </c>
      <c r="U45" s="100">
        <v>0</v>
      </c>
      <c r="V45" s="101">
        <v>0</v>
      </c>
      <c r="W45" s="101">
        <v>0</v>
      </c>
      <c r="X45" s="100">
        <v>11567</v>
      </c>
      <c r="Y45" s="101">
        <v>3420</v>
      </c>
      <c r="Z45" s="101">
        <v>8147</v>
      </c>
      <c r="AA45" s="107">
        <v>-815</v>
      </c>
      <c r="AB45" s="98">
        <v>-815</v>
      </c>
      <c r="AC45" s="98">
        <v>-815</v>
      </c>
      <c r="AD45" s="98">
        <v>-815</v>
      </c>
      <c r="AE45" s="98">
        <v>-815</v>
      </c>
      <c r="AF45" s="99">
        <v>-7492</v>
      </c>
      <c r="AG45" s="107">
        <v>-240.968605</v>
      </c>
      <c r="AH45" s="98">
        <v>-240.968605</v>
      </c>
      <c r="AI45" s="98">
        <v>-240.968605</v>
      </c>
      <c r="AJ45" s="98">
        <v>-240.968605</v>
      </c>
      <c r="AK45" s="98">
        <v>-240.968605</v>
      </c>
      <c r="AL45" s="99">
        <v>-2215.1371640000002</v>
      </c>
      <c r="AM45" s="107">
        <v>-574.03139499999997</v>
      </c>
      <c r="AN45" s="98">
        <v>-574.03139499999997</v>
      </c>
      <c r="AO45" s="98">
        <v>-574.03139499999997</v>
      </c>
      <c r="AP45" s="98">
        <v>-574.03139499999997</v>
      </c>
      <c r="AQ45" s="98">
        <v>-574.03139499999997</v>
      </c>
      <c r="AR45" s="99">
        <v>-5276.8628360000002</v>
      </c>
      <c r="AS45" s="100">
        <v>-43</v>
      </c>
      <c r="AT45" s="101">
        <v>-16</v>
      </c>
      <c r="AU45" s="102">
        <v>-27</v>
      </c>
      <c r="AV45" s="103">
        <v>167709</v>
      </c>
      <c r="AW45" s="104">
        <v>129698</v>
      </c>
      <c r="AX45" s="104">
        <v>117669</v>
      </c>
      <c r="AY45" s="105">
        <v>186043</v>
      </c>
      <c r="AZ45" s="103">
        <v>49586</v>
      </c>
      <c r="BA45" s="104">
        <v>38347</v>
      </c>
      <c r="BB45" s="104">
        <v>34791</v>
      </c>
      <c r="BC45" s="105">
        <v>55007</v>
      </c>
      <c r="BD45" s="103">
        <v>118123</v>
      </c>
      <c r="BE45" s="104">
        <v>91351</v>
      </c>
      <c r="BF45" s="104">
        <v>82878</v>
      </c>
      <c r="BG45" s="105">
        <v>131036</v>
      </c>
      <c r="BH45" s="64">
        <f t="shared" si="1"/>
        <v>4468.1811159999997</v>
      </c>
      <c r="BI45" s="106">
        <f t="shared" si="2"/>
        <v>10643.818884000008</v>
      </c>
    </row>
    <row r="46" spans="2:61">
      <c r="B46" s="89" t="s">
        <v>285</v>
      </c>
      <c r="C46" s="90">
        <f>'[1]LEA - Summary GASB75'!H46</f>
        <v>0</v>
      </c>
      <c r="D46" s="91">
        <f t="shared" si="0"/>
        <v>0</v>
      </c>
      <c r="E46" s="92">
        <v>0</v>
      </c>
      <c r="F46" s="93">
        <v>0</v>
      </c>
      <c r="G46" s="94">
        <v>0</v>
      </c>
      <c r="H46" s="94">
        <v>1</v>
      </c>
      <c r="I46" s="100">
        <v>0</v>
      </c>
      <c r="J46" s="101">
        <v>0</v>
      </c>
      <c r="K46" s="102">
        <v>0</v>
      </c>
      <c r="L46" s="100">
        <v>0</v>
      </c>
      <c r="M46" s="101">
        <v>0</v>
      </c>
      <c r="N46" s="101">
        <v>0</v>
      </c>
      <c r="O46" s="100">
        <v>0</v>
      </c>
      <c r="P46" s="101">
        <v>0</v>
      </c>
      <c r="Q46" s="101">
        <v>0</v>
      </c>
      <c r="R46" s="100">
        <v>0</v>
      </c>
      <c r="S46" s="101">
        <v>0</v>
      </c>
      <c r="T46" s="101">
        <v>0</v>
      </c>
      <c r="U46" s="100">
        <v>0</v>
      </c>
      <c r="V46" s="101">
        <v>0</v>
      </c>
      <c r="W46" s="101">
        <v>0</v>
      </c>
      <c r="X46" s="100">
        <v>0</v>
      </c>
      <c r="Y46" s="101">
        <v>0</v>
      </c>
      <c r="Z46" s="101">
        <v>0</v>
      </c>
      <c r="AA46" s="107">
        <v>0</v>
      </c>
      <c r="AB46" s="98">
        <v>0</v>
      </c>
      <c r="AC46" s="98">
        <v>0</v>
      </c>
      <c r="AD46" s="98">
        <v>0</v>
      </c>
      <c r="AE46" s="98">
        <v>0</v>
      </c>
      <c r="AF46" s="99">
        <v>0</v>
      </c>
      <c r="AG46" s="107">
        <v>0</v>
      </c>
      <c r="AH46" s="98">
        <v>0</v>
      </c>
      <c r="AI46" s="98">
        <v>0</v>
      </c>
      <c r="AJ46" s="98">
        <v>0</v>
      </c>
      <c r="AK46" s="98">
        <v>0</v>
      </c>
      <c r="AL46" s="99">
        <v>0</v>
      </c>
      <c r="AM46" s="107">
        <v>0</v>
      </c>
      <c r="AN46" s="98">
        <v>0</v>
      </c>
      <c r="AO46" s="98">
        <v>0</v>
      </c>
      <c r="AP46" s="98">
        <v>0</v>
      </c>
      <c r="AQ46" s="98">
        <v>0</v>
      </c>
      <c r="AR46" s="99">
        <v>0</v>
      </c>
      <c r="AS46" s="100">
        <v>0</v>
      </c>
      <c r="AT46" s="101">
        <v>0</v>
      </c>
      <c r="AU46" s="102">
        <v>0</v>
      </c>
      <c r="AV46" s="103">
        <v>0</v>
      </c>
      <c r="AW46" s="104">
        <v>0</v>
      </c>
      <c r="AX46" s="104">
        <v>0</v>
      </c>
      <c r="AY46" s="105">
        <v>0</v>
      </c>
      <c r="AZ46" s="103">
        <v>0</v>
      </c>
      <c r="BA46" s="104">
        <v>0</v>
      </c>
      <c r="BB46" s="104">
        <v>0</v>
      </c>
      <c r="BC46" s="105">
        <v>0</v>
      </c>
      <c r="BD46" s="103">
        <v>0</v>
      </c>
      <c r="BE46" s="104">
        <v>0</v>
      </c>
      <c r="BF46" s="104">
        <v>0</v>
      </c>
      <c r="BG46" s="105">
        <v>0</v>
      </c>
      <c r="BH46" s="64">
        <f t="shared" si="1"/>
        <v>0</v>
      </c>
      <c r="BI46" s="106">
        <f t="shared" si="2"/>
        <v>0</v>
      </c>
    </row>
    <row r="47" spans="2:61">
      <c r="B47" s="89" t="s">
        <v>286</v>
      </c>
      <c r="C47" s="90">
        <f>'[1]LEA - Summary GASB75'!H47</f>
        <v>0</v>
      </c>
      <c r="D47" s="91">
        <f t="shared" si="0"/>
        <v>0</v>
      </c>
      <c r="E47" s="92">
        <v>0</v>
      </c>
      <c r="F47" s="93">
        <v>0</v>
      </c>
      <c r="G47" s="94">
        <v>0</v>
      </c>
      <c r="H47" s="94">
        <v>1</v>
      </c>
      <c r="I47" s="100">
        <v>0</v>
      </c>
      <c r="J47" s="101">
        <v>0</v>
      </c>
      <c r="K47" s="102">
        <v>0</v>
      </c>
      <c r="L47" s="100">
        <v>0</v>
      </c>
      <c r="M47" s="101">
        <v>0</v>
      </c>
      <c r="N47" s="101">
        <v>0</v>
      </c>
      <c r="O47" s="100">
        <v>0</v>
      </c>
      <c r="P47" s="101">
        <v>0</v>
      </c>
      <c r="Q47" s="101">
        <v>0</v>
      </c>
      <c r="R47" s="100">
        <v>0</v>
      </c>
      <c r="S47" s="101">
        <v>0</v>
      </c>
      <c r="T47" s="101">
        <v>0</v>
      </c>
      <c r="U47" s="100">
        <v>0</v>
      </c>
      <c r="V47" s="101">
        <v>0</v>
      </c>
      <c r="W47" s="101">
        <v>0</v>
      </c>
      <c r="X47" s="100">
        <v>0</v>
      </c>
      <c r="Y47" s="101">
        <v>0</v>
      </c>
      <c r="Z47" s="101">
        <v>0</v>
      </c>
      <c r="AA47" s="107">
        <v>0</v>
      </c>
      <c r="AB47" s="98">
        <v>0</v>
      </c>
      <c r="AC47" s="98">
        <v>0</v>
      </c>
      <c r="AD47" s="98">
        <v>0</v>
      </c>
      <c r="AE47" s="98">
        <v>0</v>
      </c>
      <c r="AF47" s="99">
        <v>0</v>
      </c>
      <c r="AG47" s="107">
        <v>0</v>
      </c>
      <c r="AH47" s="98">
        <v>0</v>
      </c>
      <c r="AI47" s="98">
        <v>0</v>
      </c>
      <c r="AJ47" s="98">
        <v>0</v>
      </c>
      <c r="AK47" s="98">
        <v>0</v>
      </c>
      <c r="AL47" s="99">
        <v>0</v>
      </c>
      <c r="AM47" s="107">
        <v>0</v>
      </c>
      <c r="AN47" s="98">
        <v>0</v>
      </c>
      <c r="AO47" s="98">
        <v>0</v>
      </c>
      <c r="AP47" s="98">
        <v>0</v>
      </c>
      <c r="AQ47" s="98">
        <v>0</v>
      </c>
      <c r="AR47" s="99">
        <v>0</v>
      </c>
      <c r="AS47" s="100">
        <v>0</v>
      </c>
      <c r="AT47" s="101">
        <v>0</v>
      </c>
      <c r="AU47" s="102">
        <v>0</v>
      </c>
      <c r="AV47" s="103">
        <v>0</v>
      </c>
      <c r="AW47" s="104">
        <v>0</v>
      </c>
      <c r="AX47" s="104">
        <v>0</v>
      </c>
      <c r="AY47" s="105">
        <v>0</v>
      </c>
      <c r="AZ47" s="103">
        <v>0</v>
      </c>
      <c r="BA47" s="104">
        <v>0</v>
      </c>
      <c r="BB47" s="104">
        <v>0</v>
      </c>
      <c r="BC47" s="105">
        <v>0</v>
      </c>
      <c r="BD47" s="103">
        <v>0</v>
      </c>
      <c r="BE47" s="104">
        <v>0</v>
      </c>
      <c r="BF47" s="104">
        <v>0</v>
      </c>
      <c r="BG47" s="105">
        <v>0</v>
      </c>
      <c r="BH47" s="64">
        <f t="shared" si="1"/>
        <v>0</v>
      </c>
      <c r="BI47" s="106">
        <f t="shared" si="2"/>
        <v>0</v>
      </c>
    </row>
    <row r="48" spans="2:61">
      <c r="B48" s="89" t="s">
        <v>287</v>
      </c>
      <c r="C48" s="90">
        <f>'[1]LEA - Summary GASB75'!H48</f>
        <v>3310917</v>
      </c>
      <c r="D48" s="91">
        <f t="shared" si="0"/>
        <v>1240971.422604</v>
      </c>
      <c r="E48" s="92">
        <v>3290160</v>
      </c>
      <c r="F48" s="93">
        <v>1233191</v>
      </c>
      <c r="G48" s="94">
        <v>0.37481199999999998</v>
      </c>
      <c r="H48" s="94">
        <v>0.62518800000000008</v>
      </c>
      <c r="I48" s="100">
        <v>3290160</v>
      </c>
      <c r="J48" s="101">
        <v>1233191</v>
      </c>
      <c r="K48" s="102">
        <v>2056969</v>
      </c>
      <c r="L48" s="100">
        <v>288353</v>
      </c>
      <c r="M48" s="101">
        <v>108078</v>
      </c>
      <c r="N48" s="101">
        <v>180275</v>
      </c>
      <c r="O48" s="100">
        <v>0</v>
      </c>
      <c r="P48" s="101">
        <v>0</v>
      </c>
      <c r="Q48" s="101">
        <v>0</v>
      </c>
      <c r="R48" s="100">
        <v>0</v>
      </c>
      <c r="S48" s="101">
        <v>0</v>
      </c>
      <c r="T48" s="101">
        <v>0</v>
      </c>
      <c r="U48" s="100">
        <v>0</v>
      </c>
      <c r="V48" s="101">
        <v>0</v>
      </c>
      <c r="W48" s="101">
        <v>0</v>
      </c>
      <c r="X48" s="100">
        <v>173839</v>
      </c>
      <c r="Y48" s="101">
        <v>65157</v>
      </c>
      <c r="Z48" s="101">
        <v>108682</v>
      </c>
      <c r="AA48" s="107">
        <v>-16096</v>
      </c>
      <c r="AB48" s="98">
        <v>-16096</v>
      </c>
      <c r="AC48" s="98">
        <v>-16096</v>
      </c>
      <c r="AD48" s="98">
        <v>-16096</v>
      </c>
      <c r="AE48" s="98">
        <v>-16096</v>
      </c>
      <c r="AF48" s="99">
        <v>-93359</v>
      </c>
      <c r="AG48" s="107">
        <v>-6032.9739519999994</v>
      </c>
      <c r="AH48" s="98">
        <v>-6032.9739519999994</v>
      </c>
      <c r="AI48" s="98">
        <v>-6032.9739519999994</v>
      </c>
      <c r="AJ48" s="98">
        <v>-6032.9739519999994</v>
      </c>
      <c r="AK48" s="98">
        <v>-6032.9739519999994</v>
      </c>
      <c r="AL48" s="99">
        <v>-34992.073508000001</v>
      </c>
      <c r="AM48" s="107">
        <v>-10063.026048</v>
      </c>
      <c r="AN48" s="98">
        <v>-10063.026048</v>
      </c>
      <c r="AO48" s="98">
        <v>-10063.026048</v>
      </c>
      <c r="AP48" s="98">
        <v>-10063.026048</v>
      </c>
      <c r="AQ48" s="98">
        <v>-10063.026048</v>
      </c>
      <c r="AR48" s="99">
        <v>-58366.926491999999</v>
      </c>
      <c r="AS48" s="100">
        <v>-134122</v>
      </c>
      <c r="AT48" s="101">
        <v>-50356</v>
      </c>
      <c r="AU48" s="102">
        <v>-83766</v>
      </c>
      <c r="AV48" s="103">
        <v>3590949</v>
      </c>
      <c r="AW48" s="104">
        <v>3009397</v>
      </c>
      <c r="AX48" s="104">
        <v>2849021</v>
      </c>
      <c r="AY48" s="105">
        <v>3824354</v>
      </c>
      <c r="AZ48" s="103">
        <v>1345931</v>
      </c>
      <c r="BA48" s="104">
        <v>1127958</v>
      </c>
      <c r="BB48" s="104">
        <v>1067847</v>
      </c>
      <c r="BC48" s="105">
        <v>1433414</v>
      </c>
      <c r="BD48" s="103">
        <v>2245018</v>
      </c>
      <c r="BE48" s="104">
        <v>1881439</v>
      </c>
      <c r="BF48" s="104">
        <v>1781174</v>
      </c>
      <c r="BG48" s="105">
        <v>2390940</v>
      </c>
      <c r="BH48" s="64">
        <f t="shared" si="1"/>
        <v>-7780.422603999963</v>
      </c>
      <c r="BI48" s="106">
        <f t="shared" si="2"/>
        <v>-12976.577396000037</v>
      </c>
    </row>
    <row r="49" spans="2:61">
      <c r="B49" s="89" t="s">
        <v>288</v>
      </c>
      <c r="C49" s="90">
        <f>'[1]LEA - Summary GASB75'!H49</f>
        <v>10994769</v>
      </c>
      <c r="D49" s="91">
        <f t="shared" si="0"/>
        <v>2898067.181634</v>
      </c>
      <c r="E49" s="92">
        <v>10741682</v>
      </c>
      <c r="F49" s="93">
        <v>2831352</v>
      </c>
      <c r="G49" s="94">
        <v>0.26358599999999999</v>
      </c>
      <c r="H49" s="94">
        <v>0.73641400000000001</v>
      </c>
      <c r="I49" s="100">
        <v>10741682</v>
      </c>
      <c r="J49" s="101">
        <v>2831357</v>
      </c>
      <c r="K49" s="102">
        <v>7910325</v>
      </c>
      <c r="L49" s="100">
        <v>797447</v>
      </c>
      <c r="M49" s="101">
        <v>210196</v>
      </c>
      <c r="N49" s="101">
        <v>587251</v>
      </c>
      <c r="O49" s="100">
        <v>0</v>
      </c>
      <c r="P49" s="101">
        <v>0</v>
      </c>
      <c r="Q49" s="101">
        <v>0</v>
      </c>
      <c r="R49" s="100">
        <v>0</v>
      </c>
      <c r="S49" s="101">
        <v>0</v>
      </c>
      <c r="T49" s="101">
        <v>0</v>
      </c>
      <c r="U49" s="100">
        <v>0</v>
      </c>
      <c r="V49" s="101">
        <v>0</v>
      </c>
      <c r="W49" s="101">
        <v>0</v>
      </c>
      <c r="X49" s="100">
        <v>407288</v>
      </c>
      <c r="Y49" s="101">
        <v>107355</v>
      </c>
      <c r="Z49" s="101">
        <v>299933</v>
      </c>
      <c r="AA49" s="107">
        <v>-51556</v>
      </c>
      <c r="AB49" s="98">
        <v>-51556</v>
      </c>
      <c r="AC49" s="98">
        <v>-51556</v>
      </c>
      <c r="AD49" s="98">
        <v>-51556</v>
      </c>
      <c r="AE49" s="98">
        <v>-51556</v>
      </c>
      <c r="AF49" s="99">
        <v>-149508</v>
      </c>
      <c r="AG49" s="107">
        <v>-13589.439816</v>
      </c>
      <c r="AH49" s="98">
        <v>-13589.439816</v>
      </c>
      <c r="AI49" s="98">
        <v>-13589.439816</v>
      </c>
      <c r="AJ49" s="98">
        <v>-13589.439816</v>
      </c>
      <c r="AK49" s="98">
        <v>-13589.439816</v>
      </c>
      <c r="AL49" s="99">
        <v>-39408.215687999997</v>
      </c>
      <c r="AM49" s="107">
        <v>-37966.560184000002</v>
      </c>
      <c r="AN49" s="98">
        <v>-37966.560184000002</v>
      </c>
      <c r="AO49" s="98">
        <v>-37966.560184000002</v>
      </c>
      <c r="AP49" s="98">
        <v>-37966.560184000002</v>
      </c>
      <c r="AQ49" s="98">
        <v>-37966.560184000002</v>
      </c>
      <c r="AR49" s="99">
        <v>-110099.784312</v>
      </c>
      <c r="AS49" s="100">
        <v>-708784</v>
      </c>
      <c r="AT49" s="101">
        <v>-200338</v>
      </c>
      <c r="AU49" s="102">
        <v>-508446</v>
      </c>
      <c r="AV49" s="103">
        <v>11462479</v>
      </c>
      <c r="AW49" s="104">
        <v>10049982</v>
      </c>
      <c r="AX49" s="104">
        <v>9637725</v>
      </c>
      <c r="AY49" s="105">
        <v>12032435</v>
      </c>
      <c r="AZ49" s="103">
        <v>3021349</v>
      </c>
      <c r="BA49" s="104">
        <v>2649035</v>
      </c>
      <c r="BB49" s="104">
        <v>2540369</v>
      </c>
      <c r="BC49" s="105">
        <v>3171581</v>
      </c>
      <c r="BD49" s="103">
        <v>8441130</v>
      </c>
      <c r="BE49" s="104">
        <v>7400947</v>
      </c>
      <c r="BF49" s="104">
        <v>7097356</v>
      </c>
      <c r="BG49" s="105">
        <v>8860854</v>
      </c>
      <c r="BH49" s="64">
        <f t="shared" si="1"/>
        <v>-66715.181634000037</v>
      </c>
      <c r="BI49" s="106">
        <f t="shared" si="2"/>
        <v>-186371.81836600043</v>
      </c>
    </row>
    <row r="50" spans="2:61">
      <c r="B50" s="89" t="s">
        <v>289</v>
      </c>
      <c r="C50" s="90">
        <f>'[1]LEA - Summary GASB75'!H50</f>
        <v>122748</v>
      </c>
      <c r="D50" s="91">
        <f t="shared" si="0"/>
        <v>43424.314464000003</v>
      </c>
      <c r="E50" s="92">
        <v>138034</v>
      </c>
      <c r="F50" s="93">
        <v>48832</v>
      </c>
      <c r="G50" s="94">
        <v>0.35376800000000003</v>
      </c>
      <c r="H50" s="94">
        <v>0.64623199999999992</v>
      </c>
      <c r="I50" s="100">
        <v>138034</v>
      </c>
      <c r="J50" s="101">
        <v>48832</v>
      </c>
      <c r="K50" s="102">
        <v>89202</v>
      </c>
      <c r="L50" s="100">
        <v>25390</v>
      </c>
      <c r="M50" s="101">
        <v>8982</v>
      </c>
      <c r="N50" s="101">
        <v>16408</v>
      </c>
      <c r="O50" s="100">
        <v>0</v>
      </c>
      <c r="P50" s="101">
        <v>0</v>
      </c>
      <c r="Q50" s="101">
        <v>0</v>
      </c>
      <c r="R50" s="100">
        <v>0</v>
      </c>
      <c r="S50" s="101">
        <v>0</v>
      </c>
      <c r="T50" s="101">
        <v>0</v>
      </c>
      <c r="U50" s="100">
        <v>0</v>
      </c>
      <c r="V50" s="101">
        <v>0</v>
      </c>
      <c r="W50" s="101">
        <v>0</v>
      </c>
      <c r="X50" s="100">
        <v>10104</v>
      </c>
      <c r="Y50" s="101">
        <v>3574</v>
      </c>
      <c r="Z50" s="101">
        <v>6530</v>
      </c>
      <c r="AA50" s="107">
        <v>-738</v>
      </c>
      <c r="AB50" s="98">
        <v>-738</v>
      </c>
      <c r="AC50" s="98">
        <v>-738</v>
      </c>
      <c r="AD50" s="98">
        <v>-738</v>
      </c>
      <c r="AE50" s="98">
        <v>-738</v>
      </c>
      <c r="AF50" s="99">
        <v>-6414</v>
      </c>
      <c r="AG50" s="107">
        <v>-261.08078399999999</v>
      </c>
      <c r="AH50" s="98">
        <v>-261.08078399999999</v>
      </c>
      <c r="AI50" s="98">
        <v>-261.08078399999999</v>
      </c>
      <c r="AJ50" s="98">
        <v>-261.08078399999999</v>
      </c>
      <c r="AK50" s="98">
        <v>-261.08078399999999</v>
      </c>
      <c r="AL50" s="99">
        <v>-2269.0679520000003</v>
      </c>
      <c r="AM50" s="107">
        <v>-476.91921600000001</v>
      </c>
      <c r="AN50" s="98">
        <v>-476.91921600000001</v>
      </c>
      <c r="AO50" s="98">
        <v>-476.91921600000001</v>
      </c>
      <c r="AP50" s="98">
        <v>-476.91921600000001</v>
      </c>
      <c r="AQ50" s="98">
        <v>-476.91921600000001</v>
      </c>
      <c r="AR50" s="99">
        <v>-4144.9320479999997</v>
      </c>
      <c r="AS50" s="100">
        <v>-53</v>
      </c>
      <c r="AT50" s="101">
        <v>-21</v>
      </c>
      <c r="AU50" s="102">
        <v>-32</v>
      </c>
      <c r="AV50" s="103">
        <v>155368</v>
      </c>
      <c r="AW50" s="104">
        <v>122198</v>
      </c>
      <c r="AX50" s="104">
        <v>111462</v>
      </c>
      <c r="AY50" s="105">
        <v>171293</v>
      </c>
      <c r="AZ50" s="103">
        <v>54964</v>
      </c>
      <c r="BA50" s="104">
        <v>43230</v>
      </c>
      <c r="BB50" s="104">
        <v>39432</v>
      </c>
      <c r="BC50" s="105">
        <v>60598</v>
      </c>
      <c r="BD50" s="103">
        <v>100404</v>
      </c>
      <c r="BE50" s="104">
        <v>78968</v>
      </c>
      <c r="BF50" s="104">
        <v>72030</v>
      </c>
      <c r="BG50" s="105">
        <v>110695</v>
      </c>
      <c r="BH50" s="64">
        <f t="shared" si="1"/>
        <v>5407.6855359999972</v>
      </c>
      <c r="BI50" s="106">
        <f t="shared" si="2"/>
        <v>9878.3144639999955</v>
      </c>
    </row>
    <row r="51" spans="2:61">
      <c r="B51" s="89" t="s">
        <v>290</v>
      </c>
      <c r="C51" s="90">
        <f>'[1]LEA - Summary GASB75'!H51</f>
        <v>9554298</v>
      </c>
      <c r="D51" s="91">
        <f t="shared" si="0"/>
        <v>2579918.4260460003</v>
      </c>
      <c r="E51" s="92">
        <v>9542819</v>
      </c>
      <c r="F51" s="93">
        <v>2576821</v>
      </c>
      <c r="G51" s="94">
        <v>0.27002700000000002</v>
      </c>
      <c r="H51" s="94">
        <v>0.72997299999999998</v>
      </c>
      <c r="I51" s="100">
        <v>9542819</v>
      </c>
      <c r="J51" s="101">
        <v>2576819</v>
      </c>
      <c r="K51" s="102">
        <v>6966000</v>
      </c>
      <c r="L51" s="100">
        <v>736501</v>
      </c>
      <c r="M51" s="101">
        <v>198875</v>
      </c>
      <c r="N51" s="101">
        <v>537626</v>
      </c>
      <c r="O51" s="100">
        <v>0</v>
      </c>
      <c r="P51" s="101">
        <v>0</v>
      </c>
      <c r="Q51" s="101">
        <v>0</v>
      </c>
      <c r="R51" s="100">
        <v>0</v>
      </c>
      <c r="S51" s="101">
        <v>0</v>
      </c>
      <c r="T51" s="101">
        <v>0</v>
      </c>
      <c r="U51" s="100">
        <v>0</v>
      </c>
      <c r="V51" s="101">
        <v>0</v>
      </c>
      <c r="W51" s="101">
        <v>0</v>
      </c>
      <c r="X51" s="100">
        <v>404579</v>
      </c>
      <c r="Y51" s="101">
        <v>109247</v>
      </c>
      <c r="Z51" s="101">
        <v>295332</v>
      </c>
      <c r="AA51" s="107">
        <v>-45975</v>
      </c>
      <c r="AB51" s="98">
        <v>-45975</v>
      </c>
      <c r="AC51" s="98">
        <v>-45975</v>
      </c>
      <c r="AD51" s="98">
        <v>-45975</v>
      </c>
      <c r="AE51" s="98">
        <v>-45975</v>
      </c>
      <c r="AF51" s="99">
        <v>-174704</v>
      </c>
      <c r="AG51" s="107">
        <v>-12414.491325000001</v>
      </c>
      <c r="AH51" s="98">
        <v>-12414.491325000001</v>
      </c>
      <c r="AI51" s="98">
        <v>-12414.491325000001</v>
      </c>
      <c r="AJ51" s="98">
        <v>-12414.491325000001</v>
      </c>
      <c r="AK51" s="98">
        <v>-12414.491325000001</v>
      </c>
      <c r="AL51" s="99">
        <v>-47174.797008000001</v>
      </c>
      <c r="AM51" s="107">
        <v>-33560.508674999997</v>
      </c>
      <c r="AN51" s="98">
        <v>-33560.508674999997</v>
      </c>
      <c r="AO51" s="98">
        <v>-33560.508674999997</v>
      </c>
      <c r="AP51" s="98">
        <v>-33560.508674999997</v>
      </c>
      <c r="AQ51" s="98">
        <v>-33560.508674999997</v>
      </c>
      <c r="AR51" s="99">
        <v>-127529.20299200001</v>
      </c>
      <c r="AS51" s="100">
        <v>-393213</v>
      </c>
      <c r="AT51" s="101">
        <v>-115240</v>
      </c>
      <c r="AU51" s="102">
        <v>-277973</v>
      </c>
      <c r="AV51" s="103">
        <v>10251101</v>
      </c>
      <c r="AW51" s="104">
        <v>8863613</v>
      </c>
      <c r="AX51" s="104">
        <v>8451519</v>
      </c>
      <c r="AY51" s="105">
        <v>10829783</v>
      </c>
      <c r="AZ51" s="103">
        <v>2768074</v>
      </c>
      <c r="BA51" s="104">
        <v>2393415</v>
      </c>
      <c r="BB51" s="104">
        <v>2282138</v>
      </c>
      <c r="BC51" s="105">
        <v>2924334</v>
      </c>
      <c r="BD51" s="103">
        <v>7483027</v>
      </c>
      <c r="BE51" s="104">
        <v>6470198</v>
      </c>
      <c r="BF51" s="104">
        <v>6169381</v>
      </c>
      <c r="BG51" s="105">
        <v>7905449</v>
      </c>
      <c r="BH51" s="64">
        <f t="shared" si="1"/>
        <v>-3097.4260460003279</v>
      </c>
      <c r="BI51" s="106">
        <f t="shared" si="2"/>
        <v>-8381.5739539992064</v>
      </c>
    </row>
    <row r="52" spans="2:61">
      <c r="B52" s="89" t="s">
        <v>291</v>
      </c>
      <c r="C52" s="90">
        <f>'[1]LEA - Summary GASB75'!H52</f>
        <v>24039821</v>
      </c>
      <c r="D52" s="91">
        <f t="shared" si="0"/>
        <v>5492161.5454810001</v>
      </c>
      <c r="E52" s="92">
        <v>23971168</v>
      </c>
      <c r="F52" s="93">
        <v>5476468</v>
      </c>
      <c r="G52" s="94">
        <v>0.228461</v>
      </c>
      <c r="H52" s="94">
        <v>0.77153899999999997</v>
      </c>
      <c r="I52" s="100">
        <v>23971168</v>
      </c>
      <c r="J52" s="101">
        <v>5476477</v>
      </c>
      <c r="K52" s="102">
        <v>18494691</v>
      </c>
      <c r="L52" s="100">
        <v>2080198</v>
      </c>
      <c r="M52" s="101">
        <v>475244</v>
      </c>
      <c r="N52" s="101">
        <v>1604954</v>
      </c>
      <c r="O52" s="100">
        <v>0</v>
      </c>
      <c r="P52" s="101">
        <v>0</v>
      </c>
      <c r="Q52" s="101">
        <v>0</v>
      </c>
      <c r="R52" s="100">
        <v>0</v>
      </c>
      <c r="S52" s="101">
        <v>0</v>
      </c>
      <c r="T52" s="101">
        <v>0</v>
      </c>
      <c r="U52" s="100">
        <v>0</v>
      </c>
      <c r="V52" s="101">
        <v>0</v>
      </c>
      <c r="W52" s="101">
        <v>0</v>
      </c>
      <c r="X52" s="100">
        <v>987541</v>
      </c>
      <c r="Y52" s="101">
        <v>225615</v>
      </c>
      <c r="Z52" s="101">
        <v>761926</v>
      </c>
      <c r="AA52" s="107">
        <v>-113510</v>
      </c>
      <c r="AB52" s="98">
        <v>-113510</v>
      </c>
      <c r="AC52" s="98">
        <v>-113510</v>
      </c>
      <c r="AD52" s="98">
        <v>-113510</v>
      </c>
      <c r="AE52" s="98">
        <v>-113510</v>
      </c>
      <c r="AF52" s="99">
        <v>-419991</v>
      </c>
      <c r="AG52" s="107">
        <v>-25932.608110000001</v>
      </c>
      <c r="AH52" s="98">
        <v>-25932.608110000001</v>
      </c>
      <c r="AI52" s="98">
        <v>-25932.608110000001</v>
      </c>
      <c r="AJ52" s="98">
        <v>-25932.608110000001</v>
      </c>
      <c r="AK52" s="98">
        <v>-25932.608110000001</v>
      </c>
      <c r="AL52" s="99">
        <v>-95951.563850999999</v>
      </c>
      <c r="AM52" s="107">
        <v>-87577.391889999999</v>
      </c>
      <c r="AN52" s="98">
        <v>-87577.391889999999</v>
      </c>
      <c r="AO52" s="98">
        <v>-87577.391889999999</v>
      </c>
      <c r="AP52" s="98">
        <v>-87577.391889999999</v>
      </c>
      <c r="AQ52" s="98">
        <v>-87577.391889999999</v>
      </c>
      <c r="AR52" s="99">
        <v>-324039.43614900002</v>
      </c>
      <c r="AS52" s="100">
        <v>-1265925</v>
      </c>
      <c r="AT52" s="101">
        <v>-318458</v>
      </c>
      <c r="AU52" s="102">
        <v>-947467</v>
      </c>
      <c r="AV52" s="103">
        <v>25704324</v>
      </c>
      <c r="AW52" s="104">
        <v>22315075</v>
      </c>
      <c r="AX52" s="104">
        <v>21231226</v>
      </c>
      <c r="AY52" s="105">
        <v>27223012</v>
      </c>
      <c r="AZ52" s="103">
        <v>5872436</v>
      </c>
      <c r="BA52" s="104">
        <v>5098124</v>
      </c>
      <c r="BB52" s="104">
        <v>4850507</v>
      </c>
      <c r="BC52" s="105">
        <v>6219397</v>
      </c>
      <c r="BD52" s="103">
        <v>19831888</v>
      </c>
      <c r="BE52" s="104">
        <v>17216951</v>
      </c>
      <c r="BF52" s="104">
        <v>16380719</v>
      </c>
      <c r="BG52" s="105">
        <v>21003615</v>
      </c>
      <c r="BH52" s="64">
        <f t="shared" si="1"/>
        <v>-15693.545481000096</v>
      </c>
      <c r="BI52" s="106">
        <f t="shared" si="2"/>
        <v>-52959.454518999904</v>
      </c>
    </row>
    <row r="53" spans="2:61">
      <c r="B53" s="89" t="s">
        <v>292</v>
      </c>
      <c r="C53" s="90">
        <f>'[1]LEA - Summary GASB75'!H53</f>
        <v>9214812</v>
      </c>
      <c r="D53" s="91">
        <f t="shared" si="0"/>
        <v>2738107.6673040004</v>
      </c>
      <c r="E53" s="92">
        <v>8893279</v>
      </c>
      <c r="F53" s="93">
        <v>2642569</v>
      </c>
      <c r="G53" s="94">
        <v>0.29714200000000002</v>
      </c>
      <c r="H53" s="94">
        <v>0.70285799999999998</v>
      </c>
      <c r="I53" s="100">
        <v>8893279</v>
      </c>
      <c r="J53" s="101">
        <v>2642567</v>
      </c>
      <c r="K53" s="102">
        <v>6250712</v>
      </c>
      <c r="L53" s="100">
        <v>644588</v>
      </c>
      <c r="M53" s="101">
        <v>191534</v>
      </c>
      <c r="N53" s="101">
        <v>453054</v>
      </c>
      <c r="O53" s="100">
        <v>0</v>
      </c>
      <c r="P53" s="101">
        <v>0</v>
      </c>
      <c r="Q53" s="101">
        <v>0</v>
      </c>
      <c r="R53" s="100">
        <v>0</v>
      </c>
      <c r="S53" s="101">
        <v>0</v>
      </c>
      <c r="T53" s="101">
        <v>0</v>
      </c>
      <c r="U53" s="100">
        <v>0</v>
      </c>
      <c r="V53" s="101">
        <v>0</v>
      </c>
      <c r="W53" s="101">
        <v>0</v>
      </c>
      <c r="X53" s="100">
        <v>364138</v>
      </c>
      <c r="Y53" s="101">
        <v>108201</v>
      </c>
      <c r="Z53" s="101">
        <v>255937</v>
      </c>
      <c r="AA53" s="107">
        <v>-44407</v>
      </c>
      <c r="AB53" s="98">
        <v>-44407</v>
      </c>
      <c r="AC53" s="98">
        <v>-44407</v>
      </c>
      <c r="AD53" s="98">
        <v>-44407</v>
      </c>
      <c r="AE53" s="98">
        <v>-44407</v>
      </c>
      <c r="AF53" s="99">
        <v>-142103</v>
      </c>
      <c r="AG53" s="107">
        <v>-13195.184794000001</v>
      </c>
      <c r="AH53" s="98">
        <v>-13195.184794000001</v>
      </c>
      <c r="AI53" s="98">
        <v>-13195.184794000001</v>
      </c>
      <c r="AJ53" s="98">
        <v>-13195.184794000001</v>
      </c>
      <c r="AK53" s="98">
        <v>-13195.184794000001</v>
      </c>
      <c r="AL53" s="99">
        <v>-42224.769626000001</v>
      </c>
      <c r="AM53" s="107">
        <v>-31211.815205999999</v>
      </c>
      <c r="AN53" s="98">
        <v>-31211.815205999999</v>
      </c>
      <c r="AO53" s="98">
        <v>-31211.815205999999</v>
      </c>
      <c r="AP53" s="98">
        <v>-31211.815205999999</v>
      </c>
      <c r="AQ53" s="98">
        <v>-31211.815205999999</v>
      </c>
      <c r="AR53" s="99">
        <v>-99878.230374000006</v>
      </c>
      <c r="AS53" s="100">
        <v>-628111</v>
      </c>
      <c r="AT53" s="101">
        <v>-134457</v>
      </c>
      <c r="AU53" s="102">
        <v>-493654</v>
      </c>
      <c r="AV53" s="103">
        <v>9537940</v>
      </c>
      <c r="AW53" s="104">
        <v>8284596</v>
      </c>
      <c r="AX53" s="104">
        <v>7944971</v>
      </c>
      <c r="AY53" s="105">
        <v>10015432</v>
      </c>
      <c r="AZ53" s="103">
        <v>2834123</v>
      </c>
      <c r="BA53" s="104">
        <v>2461701</v>
      </c>
      <c r="BB53" s="104">
        <v>2360785</v>
      </c>
      <c r="BC53" s="105">
        <v>2976005</v>
      </c>
      <c r="BD53" s="103">
        <v>6703817</v>
      </c>
      <c r="BE53" s="104">
        <v>5822895</v>
      </c>
      <c r="BF53" s="104">
        <v>5584186</v>
      </c>
      <c r="BG53" s="105">
        <v>7039427</v>
      </c>
      <c r="BH53" s="64">
        <f t="shared" si="1"/>
        <v>-95538.667304000352</v>
      </c>
      <c r="BI53" s="106">
        <f t="shared" si="2"/>
        <v>-225994.33269600011</v>
      </c>
    </row>
    <row r="54" spans="2:61">
      <c r="B54" s="89" t="s">
        <v>293</v>
      </c>
      <c r="C54" s="90">
        <f>'[1]LEA - Summary GASB75'!H54</f>
        <v>2504410</v>
      </c>
      <c r="D54" s="91">
        <f t="shared" si="0"/>
        <v>901189.39881000004</v>
      </c>
      <c r="E54" s="92">
        <v>2443710</v>
      </c>
      <c r="F54" s="93">
        <v>879347</v>
      </c>
      <c r="G54" s="94">
        <v>0.35984100000000002</v>
      </c>
      <c r="H54" s="94">
        <v>0.64015899999999992</v>
      </c>
      <c r="I54" s="100">
        <v>2443710</v>
      </c>
      <c r="J54" s="101">
        <v>879347</v>
      </c>
      <c r="K54" s="102">
        <v>1564363</v>
      </c>
      <c r="L54" s="100">
        <v>193107</v>
      </c>
      <c r="M54" s="101">
        <v>69488</v>
      </c>
      <c r="N54" s="101">
        <v>123619</v>
      </c>
      <c r="O54" s="100">
        <v>0</v>
      </c>
      <c r="P54" s="101">
        <v>0</v>
      </c>
      <c r="Q54" s="101">
        <v>0</v>
      </c>
      <c r="R54" s="100">
        <v>0</v>
      </c>
      <c r="S54" s="101">
        <v>0</v>
      </c>
      <c r="T54" s="101">
        <v>0</v>
      </c>
      <c r="U54" s="100">
        <v>0</v>
      </c>
      <c r="V54" s="101">
        <v>0</v>
      </c>
      <c r="W54" s="101">
        <v>0</v>
      </c>
      <c r="X54" s="100">
        <v>95048</v>
      </c>
      <c r="Y54" s="101">
        <v>34202</v>
      </c>
      <c r="Z54" s="101">
        <v>60846</v>
      </c>
      <c r="AA54" s="107">
        <v>-10445</v>
      </c>
      <c r="AB54" s="98">
        <v>-10445</v>
      </c>
      <c r="AC54" s="98">
        <v>-10445</v>
      </c>
      <c r="AD54" s="98">
        <v>-10445</v>
      </c>
      <c r="AE54" s="98">
        <v>-10445</v>
      </c>
      <c r="AF54" s="99">
        <v>-42823</v>
      </c>
      <c r="AG54" s="107">
        <v>-3758.5392450000004</v>
      </c>
      <c r="AH54" s="98">
        <v>-3758.5392450000004</v>
      </c>
      <c r="AI54" s="98">
        <v>-3758.5392450000004</v>
      </c>
      <c r="AJ54" s="98">
        <v>-3758.5392450000004</v>
      </c>
      <c r="AK54" s="98">
        <v>-3758.5392450000004</v>
      </c>
      <c r="AL54" s="99">
        <v>-15409.471143000001</v>
      </c>
      <c r="AM54" s="107">
        <v>-6686.4607550000001</v>
      </c>
      <c r="AN54" s="98">
        <v>-6686.4607550000001</v>
      </c>
      <c r="AO54" s="98">
        <v>-6686.4607550000001</v>
      </c>
      <c r="AP54" s="98">
        <v>-6686.4607550000001</v>
      </c>
      <c r="AQ54" s="98">
        <v>-6686.4607550000001</v>
      </c>
      <c r="AR54" s="99">
        <v>-27413.528856999998</v>
      </c>
      <c r="AS54" s="100">
        <v>-169610</v>
      </c>
      <c r="AT54" s="101">
        <v>-63807</v>
      </c>
      <c r="AU54" s="102">
        <v>-105803</v>
      </c>
      <c r="AV54" s="103">
        <v>2609376</v>
      </c>
      <c r="AW54" s="104">
        <v>2285583</v>
      </c>
      <c r="AX54" s="104">
        <v>2188871</v>
      </c>
      <c r="AY54" s="105">
        <v>2745493</v>
      </c>
      <c r="AZ54" s="103">
        <v>938960</v>
      </c>
      <c r="BA54" s="104">
        <v>822446</v>
      </c>
      <c r="BB54" s="104">
        <v>787646</v>
      </c>
      <c r="BC54" s="105">
        <v>987941</v>
      </c>
      <c r="BD54" s="103">
        <v>1670416</v>
      </c>
      <c r="BE54" s="104">
        <v>1463137</v>
      </c>
      <c r="BF54" s="104">
        <v>1401225</v>
      </c>
      <c r="BG54" s="105">
        <v>1757552</v>
      </c>
      <c r="BH54" s="64">
        <f t="shared" si="1"/>
        <v>-21842.398810000042</v>
      </c>
      <c r="BI54" s="106">
        <f t="shared" si="2"/>
        <v>-38857.601189999841</v>
      </c>
    </row>
    <row r="55" spans="2:61">
      <c r="B55" s="89" t="s">
        <v>294</v>
      </c>
      <c r="C55" s="90">
        <f>'[1]LEA - Summary GASB75'!H55</f>
        <v>740588</v>
      </c>
      <c r="D55" s="91">
        <f t="shared" si="0"/>
        <v>269802.87369199999</v>
      </c>
      <c r="E55" s="92">
        <v>711788</v>
      </c>
      <c r="F55" s="93">
        <v>259311</v>
      </c>
      <c r="G55" s="94">
        <v>0.36430899999999999</v>
      </c>
      <c r="H55" s="94">
        <v>0.63569100000000001</v>
      </c>
      <c r="I55" s="100">
        <v>711788</v>
      </c>
      <c r="J55" s="101">
        <v>259311</v>
      </c>
      <c r="K55" s="102">
        <v>452477</v>
      </c>
      <c r="L55" s="100">
        <v>54103</v>
      </c>
      <c r="M55" s="101">
        <v>19710</v>
      </c>
      <c r="N55" s="101">
        <v>34393</v>
      </c>
      <c r="O55" s="100">
        <v>0</v>
      </c>
      <c r="P55" s="101">
        <v>0</v>
      </c>
      <c r="Q55" s="101">
        <v>0</v>
      </c>
      <c r="R55" s="100">
        <v>0</v>
      </c>
      <c r="S55" s="101">
        <v>0</v>
      </c>
      <c r="T55" s="101">
        <v>0</v>
      </c>
      <c r="U55" s="100">
        <v>0</v>
      </c>
      <c r="V55" s="101">
        <v>0</v>
      </c>
      <c r="W55" s="101">
        <v>0</v>
      </c>
      <c r="X55" s="100">
        <v>26730</v>
      </c>
      <c r="Y55" s="101">
        <v>9738</v>
      </c>
      <c r="Z55" s="101">
        <v>16992</v>
      </c>
      <c r="AA55" s="107">
        <v>-2728</v>
      </c>
      <c r="AB55" s="98">
        <v>-2728</v>
      </c>
      <c r="AC55" s="98">
        <v>-2728</v>
      </c>
      <c r="AD55" s="98">
        <v>-2728</v>
      </c>
      <c r="AE55" s="98">
        <v>-2728</v>
      </c>
      <c r="AF55" s="99">
        <v>-13090</v>
      </c>
      <c r="AG55" s="107">
        <v>-993.83495199999993</v>
      </c>
      <c r="AH55" s="98">
        <v>-993.83495199999993</v>
      </c>
      <c r="AI55" s="98">
        <v>-993.83495199999993</v>
      </c>
      <c r="AJ55" s="98">
        <v>-993.83495199999993</v>
      </c>
      <c r="AK55" s="98">
        <v>-993.83495199999993</v>
      </c>
      <c r="AL55" s="99">
        <v>-4768.8048099999996</v>
      </c>
      <c r="AM55" s="107">
        <v>-1734.1650480000001</v>
      </c>
      <c r="AN55" s="98">
        <v>-1734.1650480000001</v>
      </c>
      <c r="AO55" s="98">
        <v>-1734.1650480000001</v>
      </c>
      <c r="AP55" s="98">
        <v>-1734.1650480000001</v>
      </c>
      <c r="AQ55" s="98">
        <v>-1734.1650480000001</v>
      </c>
      <c r="AR55" s="99">
        <v>-8321.1951900000004</v>
      </c>
      <c r="AS55" s="100">
        <v>-60021</v>
      </c>
      <c r="AT55" s="101">
        <v>-23843</v>
      </c>
      <c r="AU55" s="102">
        <v>-36178</v>
      </c>
      <c r="AV55" s="103">
        <v>758355</v>
      </c>
      <c r="AW55" s="104">
        <v>667391</v>
      </c>
      <c r="AX55" s="104">
        <v>641238</v>
      </c>
      <c r="AY55" s="105">
        <v>794638</v>
      </c>
      <c r="AZ55" s="103">
        <v>276276</v>
      </c>
      <c r="BA55" s="104">
        <v>243137</v>
      </c>
      <c r="BB55" s="104">
        <v>233609</v>
      </c>
      <c r="BC55" s="105">
        <v>289494</v>
      </c>
      <c r="BD55" s="103">
        <v>482079</v>
      </c>
      <c r="BE55" s="104">
        <v>424254</v>
      </c>
      <c r="BF55" s="104">
        <v>407629</v>
      </c>
      <c r="BG55" s="105">
        <v>505144</v>
      </c>
      <c r="BH55" s="64">
        <f t="shared" si="1"/>
        <v>-10491.873691999994</v>
      </c>
      <c r="BI55" s="106">
        <f t="shared" si="2"/>
        <v>-18308.126308000006</v>
      </c>
    </row>
    <row r="56" spans="2:61">
      <c r="B56" s="89" t="s">
        <v>295</v>
      </c>
      <c r="C56" s="90">
        <f>'[1]LEA - Summary GASB75'!H56</f>
        <v>34759943</v>
      </c>
      <c r="D56" s="91">
        <f t="shared" si="0"/>
        <v>7376928.9031750001</v>
      </c>
      <c r="E56" s="92">
        <v>34837483</v>
      </c>
      <c r="F56" s="93">
        <v>7393387</v>
      </c>
      <c r="G56" s="94">
        <v>0.212225</v>
      </c>
      <c r="H56" s="94">
        <v>0.787775</v>
      </c>
      <c r="I56" s="100">
        <v>34837483</v>
      </c>
      <c r="J56" s="101">
        <v>7393385</v>
      </c>
      <c r="K56" s="102">
        <v>27444098</v>
      </c>
      <c r="L56" s="100">
        <v>3083624</v>
      </c>
      <c r="M56" s="101">
        <v>654422</v>
      </c>
      <c r="N56" s="101">
        <v>2429202</v>
      </c>
      <c r="O56" s="100">
        <v>0</v>
      </c>
      <c r="P56" s="101">
        <v>0</v>
      </c>
      <c r="Q56" s="101">
        <v>0</v>
      </c>
      <c r="R56" s="100">
        <v>0</v>
      </c>
      <c r="S56" s="101">
        <v>0</v>
      </c>
      <c r="T56" s="101">
        <v>0</v>
      </c>
      <c r="U56" s="100">
        <v>0</v>
      </c>
      <c r="V56" s="101">
        <v>0</v>
      </c>
      <c r="W56" s="101">
        <v>0</v>
      </c>
      <c r="X56" s="100">
        <v>1443725</v>
      </c>
      <c r="Y56" s="101">
        <v>306395</v>
      </c>
      <c r="Z56" s="101">
        <v>1137330</v>
      </c>
      <c r="AA56" s="107">
        <v>-164060</v>
      </c>
      <c r="AB56" s="98">
        <v>-164060</v>
      </c>
      <c r="AC56" s="98">
        <v>-164060</v>
      </c>
      <c r="AD56" s="98">
        <v>-164060</v>
      </c>
      <c r="AE56" s="98">
        <v>-164060</v>
      </c>
      <c r="AF56" s="99">
        <v>-623425</v>
      </c>
      <c r="AG56" s="107">
        <v>-34817.633499999996</v>
      </c>
      <c r="AH56" s="98">
        <v>-34817.633499999996</v>
      </c>
      <c r="AI56" s="98">
        <v>-34817.633499999996</v>
      </c>
      <c r="AJ56" s="98">
        <v>-34817.633499999996</v>
      </c>
      <c r="AK56" s="98">
        <v>-34817.633499999996</v>
      </c>
      <c r="AL56" s="99">
        <v>-132306.37062500001</v>
      </c>
      <c r="AM56" s="107">
        <v>-129242.3665</v>
      </c>
      <c r="AN56" s="98">
        <v>-129242.3665</v>
      </c>
      <c r="AO56" s="98">
        <v>-129242.3665</v>
      </c>
      <c r="AP56" s="98">
        <v>-129242.3665</v>
      </c>
      <c r="AQ56" s="98">
        <v>-129242.3665</v>
      </c>
      <c r="AR56" s="99">
        <v>-491118.62937500002</v>
      </c>
      <c r="AS56" s="100">
        <v>-1729244</v>
      </c>
      <c r="AT56" s="101">
        <v>-395112</v>
      </c>
      <c r="AU56" s="102">
        <v>-1334132</v>
      </c>
      <c r="AV56" s="103">
        <v>37371613</v>
      </c>
      <c r="AW56" s="104">
        <v>32433019</v>
      </c>
      <c r="AX56" s="104">
        <v>30908981</v>
      </c>
      <c r="AY56" s="105">
        <v>39500894</v>
      </c>
      <c r="AZ56" s="103">
        <v>7931191</v>
      </c>
      <c r="BA56" s="104">
        <v>6883097</v>
      </c>
      <c r="BB56" s="104">
        <v>6559658</v>
      </c>
      <c r="BC56" s="105">
        <v>8383077</v>
      </c>
      <c r="BD56" s="103">
        <v>29440422</v>
      </c>
      <c r="BE56" s="104">
        <v>25549922</v>
      </c>
      <c r="BF56" s="104">
        <v>24349323</v>
      </c>
      <c r="BG56" s="105">
        <v>31117817</v>
      </c>
      <c r="BH56" s="64">
        <f t="shared" si="1"/>
        <v>16458.096824999899</v>
      </c>
      <c r="BI56" s="106">
        <f t="shared" si="2"/>
        <v>61081.903175000101</v>
      </c>
    </row>
    <row r="57" spans="2:61">
      <c r="B57" s="89" t="s">
        <v>296</v>
      </c>
      <c r="C57" s="90">
        <f>'[1]LEA - Summary GASB75'!H57</f>
        <v>1351743</v>
      </c>
      <c r="D57" s="91">
        <f t="shared" si="0"/>
        <v>504571.86832500005</v>
      </c>
      <c r="E57" s="92">
        <v>1342025</v>
      </c>
      <c r="F57" s="93">
        <v>500944</v>
      </c>
      <c r="G57" s="94">
        <v>0.37327500000000002</v>
      </c>
      <c r="H57" s="94">
        <v>0.62672499999999998</v>
      </c>
      <c r="I57" s="100">
        <v>1342025</v>
      </c>
      <c r="J57" s="101">
        <v>500944</v>
      </c>
      <c r="K57" s="102">
        <v>841081</v>
      </c>
      <c r="L57" s="100">
        <v>112151</v>
      </c>
      <c r="M57" s="101">
        <v>41863</v>
      </c>
      <c r="N57" s="101">
        <v>70288</v>
      </c>
      <c r="O57" s="100">
        <v>0</v>
      </c>
      <c r="P57" s="101">
        <v>0</v>
      </c>
      <c r="Q57" s="101">
        <v>0</v>
      </c>
      <c r="R57" s="100">
        <v>0</v>
      </c>
      <c r="S57" s="101">
        <v>0</v>
      </c>
      <c r="T57" s="101">
        <v>0</v>
      </c>
      <c r="U57" s="100">
        <v>0</v>
      </c>
      <c r="V57" s="101">
        <v>0</v>
      </c>
      <c r="W57" s="101">
        <v>0</v>
      </c>
      <c r="X57" s="100">
        <v>59511</v>
      </c>
      <c r="Y57" s="101">
        <v>22214</v>
      </c>
      <c r="Z57" s="101">
        <v>37297</v>
      </c>
      <c r="AA57" s="107">
        <v>-6011</v>
      </c>
      <c r="AB57" s="98">
        <v>-6011</v>
      </c>
      <c r="AC57" s="98">
        <v>-6011</v>
      </c>
      <c r="AD57" s="98">
        <v>-6011</v>
      </c>
      <c r="AE57" s="98">
        <v>-6011</v>
      </c>
      <c r="AF57" s="99">
        <v>-29456</v>
      </c>
      <c r="AG57" s="107">
        <v>-2243.7560250000001</v>
      </c>
      <c r="AH57" s="98">
        <v>-2243.7560250000001</v>
      </c>
      <c r="AI57" s="98">
        <v>-2243.7560250000001</v>
      </c>
      <c r="AJ57" s="98">
        <v>-2243.7560250000001</v>
      </c>
      <c r="AK57" s="98">
        <v>-2243.7560250000001</v>
      </c>
      <c r="AL57" s="99">
        <v>-10995.188400000001</v>
      </c>
      <c r="AM57" s="107">
        <v>-3767.2439749999999</v>
      </c>
      <c r="AN57" s="98">
        <v>-3767.2439749999999</v>
      </c>
      <c r="AO57" s="98">
        <v>-3767.2439749999999</v>
      </c>
      <c r="AP57" s="98">
        <v>-3767.2439749999999</v>
      </c>
      <c r="AQ57" s="98">
        <v>-3767.2439749999999</v>
      </c>
      <c r="AR57" s="99">
        <v>-18460.811600000001</v>
      </c>
      <c r="AS57" s="100">
        <v>-71874</v>
      </c>
      <c r="AT57" s="101">
        <v>-28403</v>
      </c>
      <c r="AU57" s="102">
        <v>-43471</v>
      </c>
      <c r="AV57" s="103">
        <v>1445166</v>
      </c>
      <c r="AW57" s="104">
        <v>1245395</v>
      </c>
      <c r="AX57" s="104">
        <v>1190746</v>
      </c>
      <c r="AY57" s="105">
        <v>1522990</v>
      </c>
      <c r="AZ57" s="103">
        <v>539444</v>
      </c>
      <c r="BA57" s="104">
        <v>464875</v>
      </c>
      <c r="BB57" s="104">
        <v>444476</v>
      </c>
      <c r="BC57" s="105">
        <v>568494</v>
      </c>
      <c r="BD57" s="103">
        <v>905722</v>
      </c>
      <c r="BE57" s="104">
        <v>780520</v>
      </c>
      <c r="BF57" s="104">
        <v>746270</v>
      </c>
      <c r="BG57" s="105">
        <v>954496</v>
      </c>
      <c r="BH57" s="64">
        <f t="shared" si="1"/>
        <v>-3627.8683250000468</v>
      </c>
      <c r="BI57" s="106">
        <f t="shared" si="2"/>
        <v>-6090.1316749999532</v>
      </c>
    </row>
    <row r="58" spans="2:61">
      <c r="B58" s="89" t="s">
        <v>297</v>
      </c>
      <c r="C58" s="90">
        <f>'[1]LEA - Summary GASB75'!H58</f>
        <v>5057760</v>
      </c>
      <c r="D58" s="91">
        <f t="shared" si="0"/>
        <v>1808134.02672</v>
      </c>
      <c r="E58" s="92">
        <v>4989590</v>
      </c>
      <c r="F58" s="93">
        <v>1783765</v>
      </c>
      <c r="G58" s="94">
        <v>0.35749700000000001</v>
      </c>
      <c r="H58" s="94">
        <v>0.64250300000000005</v>
      </c>
      <c r="I58" s="100">
        <v>4989590</v>
      </c>
      <c r="J58" s="101">
        <v>1783763</v>
      </c>
      <c r="K58" s="102">
        <v>3205827</v>
      </c>
      <c r="L58" s="100">
        <v>385195</v>
      </c>
      <c r="M58" s="101">
        <v>137706</v>
      </c>
      <c r="N58" s="101">
        <v>247489</v>
      </c>
      <c r="O58" s="100">
        <v>0</v>
      </c>
      <c r="P58" s="101">
        <v>0</v>
      </c>
      <c r="Q58" s="101">
        <v>0</v>
      </c>
      <c r="R58" s="100">
        <v>0</v>
      </c>
      <c r="S58" s="101">
        <v>0</v>
      </c>
      <c r="T58" s="101">
        <v>0</v>
      </c>
      <c r="U58" s="100">
        <v>0</v>
      </c>
      <c r="V58" s="101">
        <v>0</v>
      </c>
      <c r="W58" s="101">
        <v>0</v>
      </c>
      <c r="X58" s="100">
        <v>203231</v>
      </c>
      <c r="Y58" s="101">
        <v>72654</v>
      </c>
      <c r="Z58" s="101">
        <v>130577</v>
      </c>
      <c r="AA58" s="107">
        <v>-23094</v>
      </c>
      <c r="AB58" s="98">
        <v>-23094</v>
      </c>
      <c r="AC58" s="98">
        <v>-23094</v>
      </c>
      <c r="AD58" s="98">
        <v>-23094</v>
      </c>
      <c r="AE58" s="98">
        <v>-23094</v>
      </c>
      <c r="AF58" s="99">
        <v>-87761</v>
      </c>
      <c r="AG58" s="107">
        <v>-8256.035718000001</v>
      </c>
      <c r="AH58" s="98">
        <v>-8256.035718000001</v>
      </c>
      <c r="AI58" s="98">
        <v>-8256.035718000001</v>
      </c>
      <c r="AJ58" s="98">
        <v>-8256.035718000001</v>
      </c>
      <c r="AK58" s="98">
        <v>-8256.035718000001</v>
      </c>
      <c r="AL58" s="99">
        <v>-31374.294217000002</v>
      </c>
      <c r="AM58" s="107">
        <v>-14837.964281999999</v>
      </c>
      <c r="AN58" s="98">
        <v>-14837.964281999999</v>
      </c>
      <c r="AO58" s="98">
        <v>-14837.964281999999</v>
      </c>
      <c r="AP58" s="98">
        <v>-14837.964281999999</v>
      </c>
      <c r="AQ58" s="98">
        <v>-14837.964281999999</v>
      </c>
      <c r="AR58" s="99">
        <v>-56386.705782999998</v>
      </c>
      <c r="AS58" s="100">
        <v>-271380</v>
      </c>
      <c r="AT58" s="101">
        <v>-105458</v>
      </c>
      <c r="AU58" s="102">
        <v>-165922</v>
      </c>
      <c r="AV58" s="103">
        <v>5345414</v>
      </c>
      <c r="AW58" s="104">
        <v>4650029</v>
      </c>
      <c r="AX58" s="104">
        <v>4445796</v>
      </c>
      <c r="AY58" s="105">
        <v>5630582</v>
      </c>
      <c r="AZ58" s="103">
        <v>1910969</v>
      </c>
      <c r="BA58" s="104">
        <v>1662371</v>
      </c>
      <c r="BB58" s="104">
        <v>1589359</v>
      </c>
      <c r="BC58" s="105">
        <v>2012916</v>
      </c>
      <c r="BD58" s="103">
        <v>3434445</v>
      </c>
      <c r="BE58" s="104">
        <v>2987658</v>
      </c>
      <c r="BF58" s="104">
        <v>2856437</v>
      </c>
      <c r="BG58" s="105">
        <v>3617666</v>
      </c>
      <c r="BH58" s="64">
        <f t="shared" si="1"/>
        <v>-24369.026719999965</v>
      </c>
      <c r="BI58" s="106">
        <f t="shared" si="2"/>
        <v>-43800.973280000035</v>
      </c>
    </row>
    <row r="59" spans="2:61">
      <c r="B59" s="89" t="s">
        <v>298</v>
      </c>
      <c r="C59" s="90">
        <f>'[1]LEA - Summary GASB75'!H59</f>
        <v>11614160</v>
      </c>
      <c r="D59" s="91">
        <f t="shared" si="0"/>
        <v>2695751.0634400002</v>
      </c>
      <c r="E59" s="92">
        <v>11597300</v>
      </c>
      <c r="F59" s="93">
        <v>2691843</v>
      </c>
      <c r="G59" s="94">
        <v>0.23210900000000001</v>
      </c>
      <c r="H59" s="94">
        <v>0.76789099999999999</v>
      </c>
      <c r="I59" s="100">
        <v>11597300</v>
      </c>
      <c r="J59" s="101">
        <v>2691838</v>
      </c>
      <c r="K59" s="102">
        <v>8905462</v>
      </c>
      <c r="L59" s="100">
        <v>954339</v>
      </c>
      <c r="M59" s="101">
        <v>221511</v>
      </c>
      <c r="N59" s="101">
        <v>732828</v>
      </c>
      <c r="O59" s="100">
        <v>0</v>
      </c>
      <c r="P59" s="101">
        <v>0</v>
      </c>
      <c r="Q59" s="101">
        <v>0</v>
      </c>
      <c r="R59" s="100">
        <v>0</v>
      </c>
      <c r="S59" s="101">
        <v>0</v>
      </c>
      <c r="T59" s="101">
        <v>0</v>
      </c>
      <c r="U59" s="100">
        <v>0</v>
      </c>
      <c r="V59" s="101">
        <v>0</v>
      </c>
      <c r="W59" s="101">
        <v>0</v>
      </c>
      <c r="X59" s="100">
        <v>431572</v>
      </c>
      <c r="Y59" s="101">
        <v>100172</v>
      </c>
      <c r="Z59" s="101">
        <v>331400</v>
      </c>
      <c r="AA59" s="107">
        <v>-55330</v>
      </c>
      <c r="AB59" s="98">
        <v>-55330</v>
      </c>
      <c r="AC59" s="98">
        <v>-55330</v>
      </c>
      <c r="AD59" s="98">
        <v>-55330</v>
      </c>
      <c r="AE59" s="98">
        <v>-55330</v>
      </c>
      <c r="AF59" s="99">
        <v>-154922</v>
      </c>
      <c r="AG59" s="107">
        <v>-12842.590970000001</v>
      </c>
      <c r="AH59" s="98">
        <v>-12842.590970000001</v>
      </c>
      <c r="AI59" s="98">
        <v>-12842.590970000001</v>
      </c>
      <c r="AJ59" s="98">
        <v>-12842.590970000001</v>
      </c>
      <c r="AK59" s="98">
        <v>-12842.590970000001</v>
      </c>
      <c r="AL59" s="99">
        <v>-35958.790498000002</v>
      </c>
      <c r="AM59" s="107">
        <v>-42487.409029999995</v>
      </c>
      <c r="AN59" s="98">
        <v>-42487.409029999995</v>
      </c>
      <c r="AO59" s="98">
        <v>-42487.409029999995</v>
      </c>
      <c r="AP59" s="98">
        <v>-42487.409029999995</v>
      </c>
      <c r="AQ59" s="98">
        <v>-42487.409029999995</v>
      </c>
      <c r="AR59" s="99">
        <v>-118963.209502</v>
      </c>
      <c r="AS59" s="100">
        <v>-637587</v>
      </c>
      <c r="AT59" s="101">
        <v>-164583</v>
      </c>
      <c r="AU59" s="102">
        <v>-473004</v>
      </c>
      <c r="AV59" s="103">
        <v>12362671</v>
      </c>
      <c r="AW59" s="104">
        <v>10862425</v>
      </c>
      <c r="AX59" s="104">
        <v>10392591</v>
      </c>
      <c r="AY59" s="105">
        <v>13009517</v>
      </c>
      <c r="AZ59" s="103">
        <v>2869487</v>
      </c>
      <c r="BA59" s="104">
        <v>2521267</v>
      </c>
      <c r="BB59" s="104">
        <v>2412214</v>
      </c>
      <c r="BC59" s="105">
        <v>3019626</v>
      </c>
      <c r="BD59" s="103">
        <v>9493184</v>
      </c>
      <c r="BE59" s="104">
        <v>8341158</v>
      </c>
      <c r="BF59" s="104">
        <v>7980377</v>
      </c>
      <c r="BG59" s="105">
        <v>9989891</v>
      </c>
      <c r="BH59" s="64">
        <f t="shared" si="1"/>
        <v>-3908.0634400001727</v>
      </c>
      <c r="BI59" s="106">
        <f t="shared" si="2"/>
        <v>-12951.936559999362</v>
      </c>
    </row>
    <row r="60" spans="2:61">
      <c r="B60" s="89" t="s">
        <v>299</v>
      </c>
      <c r="C60" s="90">
        <f>'[1]LEA - Summary GASB75'!H60</f>
        <v>0</v>
      </c>
      <c r="D60" s="91">
        <f t="shared" si="0"/>
        <v>0</v>
      </c>
      <c r="E60" s="92">
        <v>0</v>
      </c>
      <c r="F60" s="93">
        <v>0</v>
      </c>
      <c r="G60" s="94">
        <v>0</v>
      </c>
      <c r="H60" s="94">
        <v>1</v>
      </c>
      <c r="I60" s="100">
        <v>0</v>
      </c>
      <c r="J60" s="101">
        <v>0</v>
      </c>
      <c r="K60" s="102">
        <v>0</v>
      </c>
      <c r="L60" s="100">
        <v>0</v>
      </c>
      <c r="M60" s="101">
        <v>0</v>
      </c>
      <c r="N60" s="101">
        <v>0</v>
      </c>
      <c r="O60" s="100">
        <v>0</v>
      </c>
      <c r="P60" s="101">
        <v>0</v>
      </c>
      <c r="Q60" s="101">
        <v>0</v>
      </c>
      <c r="R60" s="100">
        <v>0</v>
      </c>
      <c r="S60" s="101">
        <v>0</v>
      </c>
      <c r="T60" s="101">
        <v>0</v>
      </c>
      <c r="U60" s="100">
        <v>0</v>
      </c>
      <c r="V60" s="101">
        <v>0</v>
      </c>
      <c r="W60" s="101">
        <v>0</v>
      </c>
      <c r="X60" s="100">
        <v>0</v>
      </c>
      <c r="Y60" s="101">
        <v>0</v>
      </c>
      <c r="Z60" s="101">
        <v>0</v>
      </c>
      <c r="AA60" s="107">
        <v>0</v>
      </c>
      <c r="AB60" s="98">
        <v>0</v>
      </c>
      <c r="AC60" s="98">
        <v>0</v>
      </c>
      <c r="AD60" s="98">
        <v>0</v>
      </c>
      <c r="AE60" s="98">
        <v>0</v>
      </c>
      <c r="AF60" s="99">
        <v>0</v>
      </c>
      <c r="AG60" s="107">
        <v>0</v>
      </c>
      <c r="AH60" s="98">
        <v>0</v>
      </c>
      <c r="AI60" s="98">
        <v>0</v>
      </c>
      <c r="AJ60" s="98">
        <v>0</v>
      </c>
      <c r="AK60" s="98">
        <v>0</v>
      </c>
      <c r="AL60" s="99">
        <v>0</v>
      </c>
      <c r="AM60" s="107">
        <v>0</v>
      </c>
      <c r="AN60" s="98">
        <v>0</v>
      </c>
      <c r="AO60" s="98">
        <v>0</v>
      </c>
      <c r="AP60" s="98">
        <v>0</v>
      </c>
      <c r="AQ60" s="98">
        <v>0</v>
      </c>
      <c r="AR60" s="99">
        <v>0</v>
      </c>
      <c r="AS60" s="100">
        <v>0</v>
      </c>
      <c r="AT60" s="101">
        <v>0</v>
      </c>
      <c r="AU60" s="102">
        <v>0</v>
      </c>
      <c r="AV60" s="103">
        <v>0</v>
      </c>
      <c r="AW60" s="104">
        <v>0</v>
      </c>
      <c r="AX60" s="104">
        <v>0</v>
      </c>
      <c r="AY60" s="105">
        <v>0</v>
      </c>
      <c r="AZ60" s="103">
        <v>0</v>
      </c>
      <c r="BA60" s="104">
        <v>0</v>
      </c>
      <c r="BB60" s="104">
        <v>0</v>
      </c>
      <c r="BC60" s="105">
        <v>0</v>
      </c>
      <c r="BD60" s="103">
        <v>0</v>
      </c>
      <c r="BE60" s="104">
        <v>0</v>
      </c>
      <c r="BF60" s="104">
        <v>0</v>
      </c>
      <c r="BG60" s="105">
        <v>0</v>
      </c>
      <c r="BH60" s="64">
        <f t="shared" si="1"/>
        <v>0</v>
      </c>
      <c r="BI60" s="106">
        <f t="shared" si="2"/>
        <v>0</v>
      </c>
    </row>
    <row r="61" spans="2:61">
      <c r="B61" s="89" t="s">
        <v>300</v>
      </c>
      <c r="C61" s="90">
        <f>'[1]LEA - Summary GASB75'!H61</f>
        <v>15292122</v>
      </c>
      <c r="D61" s="91">
        <f t="shared" si="0"/>
        <v>4399054.1514959997</v>
      </c>
      <c r="E61" s="92">
        <v>15050896</v>
      </c>
      <c r="F61" s="93">
        <v>4329666</v>
      </c>
      <c r="G61" s="94">
        <v>0.28766799999999998</v>
      </c>
      <c r="H61" s="94">
        <v>0.71233199999999997</v>
      </c>
      <c r="I61" s="100">
        <v>15050896</v>
      </c>
      <c r="J61" s="101">
        <v>4329661</v>
      </c>
      <c r="K61" s="102">
        <v>10721235</v>
      </c>
      <c r="L61" s="100">
        <v>1270787</v>
      </c>
      <c r="M61" s="101">
        <v>365565</v>
      </c>
      <c r="N61" s="101">
        <v>905222</v>
      </c>
      <c r="O61" s="100">
        <v>0</v>
      </c>
      <c r="P61" s="101">
        <v>0</v>
      </c>
      <c r="Q61" s="101">
        <v>0</v>
      </c>
      <c r="R61" s="100">
        <v>0</v>
      </c>
      <c r="S61" s="101">
        <v>0</v>
      </c>
      <c r="T61" s="101">
        <v>0</v>
      </c>
      <c r="U61" s="100">
        <v>0</v>
      </c>
      <c r="V61" s="101">
        <v>0</v>
      </c>
      <c r="W61" s="101">
        <v>0</v>
      </c>
      <c r="X61" s="100">
        <v>590325</v>
      </c>
      <c r="Y61" s="101">
        <v>169818</v>
      </c>
      <c r="Z61" s="101">
        <v>420507</v>
      </c>
      <c r="AA61" s="107">
        <v>-65592</v>
      </c>
      <c r="AB61" s="98">
        <v>-65592</v>
      </c>
      <c r="AC61" s="98">
        <v>-65592</v>
      </c>
      <c r="AD61" s="98">
        <v>-65592</v>
      </c>
      <c r="AE61" s="98">
        <v>-65592</v>
      </c>
      <c r="AF61" s="99">
        <v>-262365</v>
      </c>
      <c r="AG61" s="107">
        <v>-18868.719455999999</v>
      </c>
      <c r="AH61" s="98">
        <v>-18868.719455999999</v>
      </c>
      <c r="AI61" s="98">
        <v>-18868.719455999999</v>
      </c>
      <c r="AJ61" s="98">
        <v>-18868.719455999999</v>
      </c>
      <c r="AK61" s="98">
        <v>-18868.719455999999</v>
      </c>
      <c r="AL61" s="99">
        <v>-75474.014819999997</v>
      </c>
      <c r="AM61" s="107">
        <v>-46723.280544000001</v>
      </c>
      <c r="AN61" s="98">
        <v>-46723.280544000001</v>
      </c>
      <c r="AO61" s="98">
        <v>-46723.280544000001</v>
      </c>
      <c r="AP61" s="98">
        <v>-46723.280544000001</v>
      </c>
      <c r="AQ61" s="98">
        <v>-46723.280544000001</v>
      </c>
      <c r="AR61" s="99">
        <v>-186890.98518000002</v>
      </c>
      <c r="AS61" s="100">
        <v>-990826</v>
      </c>
      <c r="AT61" s="101">
        <v>-242617</v>
      </c>
      <c r="AU61" s="102">
        <v>-748209</v>
      </c>
      <c r="AV61" s="103">
        <v>16083143</v>
      </c>
      <c r="AW61" s="104">
        <v>14065249</v>
      </c>
      <c r="AX61" s="104">
        <v>13455418</v>
      </c>
      <c r="AY61" s="105">
        <v>16932720</v>
      </c>
      <c r="AZ61" s="103">
        <v>4626606</v>
      </c>
      <c r="BA61" s="104">
        <v>4046122</v>
      </c>
      <c r="BB61" s="104">
        <v>3870693</v>
      </c>
      <c r="BC61" s="105">
        <v>4871002</v>
      </c>
      <c r="BD61" s="103">
        <v>11456537</v>
      </c>
      <c r="BE61" s="104">
        <v>10019127</v>
      </c>
      <c r="BF61" s="104">
        <v>9584725</v>
      </c>
      <c r="BG61" s="105">
        <v>12061718</v>
      </c>
      <c r="BH61" s="64">
        <f t="shared" si="1"/>
        <v>-69388.151495999657</v>
      </c>
      <c r="BI61" s="106">
        <f t="shared" si="2"/>
        <v>-171837.84850399941</v>
      </c>
    </row>
    <row r="62" spans="2:61">
      <c r="B62" s="89" t="s">
        <v>301</v>
      </c>
      <c r="C62" s="90">
        <f>'[1]LEA - Summary GASB75'!H62</f>
        <v>3187112</v>
      </c>
      <c r="D62" s="91">
        <f t="shared" si="0"/>
        <v>1097230.235352</v>
      </c>
      <c r="E62" s="92">
        <v>3153310</v>
      </c>
      <c r="F62" s="93">
        <v>1085594</v>
      </c>
      <c r="G62" s="94">
        <v>0.34427099999999999</v>
      </c>
      <c r="H62" s="94">
        <v>0.65572900000000001</v>
      </c>
      <c r="I62" s="100">
        <v>3153310</v>
      </c>
      <c r="J62" s="101">
        <v>1085593</v>
      </c>
      <c r="K62" s="102">
        <v>2067717</v>
      </c>
      <c r="L62" s="100">
        <v>280684</v>
      </c>
      <c r="M62" s="101">
        <v>96631</v>
      </c>
      <c r="N62" s="101">
        <v>184053</v>
      </c>
      <c r="O62" s="100">
        <v>0</v>
      </c>
      <c r="P62" s="101">
        <v>0</v>
      </c>
      <c r="Q62" s="101">
        <v>0</v>
      </c>
      <c r="R62" s="100">
        <v>0</v>
      </c>
      <c r="S62" s="101">
        <v>0</v>
      </c>
      <c r="T62" s="101">
        <v>0</v>
      </c>
      <c r="U62" s="100">
        <v>0</v>
      </c>
      <c r="V62" s="101">
        <v>0</v>
      </c>
      <c r="W62" s="101">
        <v>0</v>
      </c>
      <c r="X62" s="100">
        <v>130863</v>
      </c>
      <c r="Y62" s="101">
        <v>45052</v>
      </c>
      <c r="Z62" s="101">
        <v>85811</v>
      </c>
      <c r="AA62" s="107">
        <v>-14381</v>
      </c>
      <c r="AB62" s="98">
        <v>-14381</v>
      </c>
      <c r="AC62" s="98">
        <v>-14381</v>
      </c>
      <c r="AD62" s="98">
        <v>-14381</v>
      </c>
      <c r="AE62" s="98">
        <v>-14381</v>
      </c>
      <c r="AF62" s="99">
        <v>-58958</v>
      </c>
      <c r="AG62" s="107">
        <v>-4950.9612509999997</v>
      </c>
      <c r="AH62" s="98">
        <v>-4950.9612509999997</v>
      </c>
      <c r="AI62" s="98">
        <v>-4950.9612509999997</v>
      </c>
      <c r="AJ62" s="98">
        <v>-4950.9612509999997</v>
      </c>
      <c r="AK62" s="98">
        <v>-4950.9612509999997</v>
      </c>
      <c r="AL62" s="99">
        <v>-20297.529618</v>
      </c>
      <c r="AM62" s="107">
        <v>-9430.0387489999994</v>
      </c>
      <c r="AN62" s="98">
        <v>-9430.0387489999994</v>
      </c>
      <c r="AO62" s="98">
        <v>-9430.0387489999994</v>
      </c>
      <c r="AP62" s="98">
        <v>-9430.0387489999994</v>
      </c>
      <c r="AQ62" s="98">
        <v>-9430.0387489999994</v>
      </c>
      <c r="AR62" s="99">
        <v>-38660.470382</v>
      </c>
      <c r="AS62" s="100">
        <v>-203104</v>
      </c>
      <c r="AT62" s="101">
        <v>-70082</v>
      </c>
      <c r="AU62" s="102">
        <v>-133022</v>
      </c>
      <c r="AV62" s="103">
        <v>3381973</v>
      </c>
      <c r="AW62" s="104">
        <v>2934224</v>
      </c>
      <c r="AX62" s="104">
        <v>2787699</v>
      </c>
      <c r="AY62" s="105">
        <v>3590264</v>
      </c>
      <c r="AZ62" s="103">
        <v>1164315</v>
      </c>
      <c r="BA62" s="104">
        <v>1010168</v>
      </c>
      <c r="BB62" s="104">
        <v>959724</v>
      </c>
      <c r="BC62" s="105">
        <v>1236024</v>
      </c>
      <c r="BD62" s="103">
        <v>2217658</v>
      </c>
      <c r="BE62" s="104">
        <v>1924056</v>
      </c>
      <c r="BF62" s="104">
        <v>1827975</v>
      </c>
      <c r="BG62" s="105">
        <v>2354240</v>
      </c>
      <c r="BH62" s="64">
        <f t="shared" si="1"/>
        <v>-11636.235351999989</v>
      </c>
      <c r="BI62" s="106">
        <f t="shared" si="2"/>
        <v>-22165.764648000011</v>
      </c>
    </row>
    <row r="63" spans="2:61">
      <c r="B63" s="89" t="s">
        <v>302</v>
      </c>
      <c r="C63" s="90">
        <f>'[1]LEA - Summary GASB75'!H63</f>
        <v>4093870</v>
      </c>
      <c r="D63" s="91">
        <f t="shared" si="0"/>
        <v>1481133.5089099999</v>
      </c>
      <c r="E63" s="92">
        <v>4104871</v>
      </c>
      <c r="F63" s="93">
        <v>1485113</v>
      </c>
      <c r="G63" s="94">
        <v>0.36179299999999998</v>
      </c>
      <c r="H63" s="94">
        <v>0.63820699999999997</v>
      </c>
      <c r="I63" s="100">
        <v>4104871</v>
      </c>
      <c r="J63" s="101">
        <v>1485114</v>
      </c>
      <c r="K63" s="102">
        <v>2619757</v>
      </c>
      <c r="L63" s="100">
        <v>353916</v>
      </c>
      <c r="M63" s="101">
        <v>128044</v>
      </c>
      <c r="N63" s="101">
        <v>225872</v>
      </c>
      <c r="O63" s="100">
        <v>0</v>
      </c>
      <c r="P63" s="101">
        <v>0</v>
      </c>
      <c r="Q63" s="101">
        <v>0</v>
      </c>
      <c r="R63" s="100">
        <v>0</v>
      </c>
      <c r="S63" s="101">
        <v>0</v>
      </c>
      <c r="T63" s="101">
        <v>0</v>
      </c>
      <c r="U63" s="100">
        <v>0</v>
      </c>
      <c r="V63" s="101">
        <v>0</v>
      </c>
      <c r="W63" s="101">
        <v>0</v>
      </c>
      <c r="X63" s="100">
        <v>173212</v>
      </c>
      <c r="Y63" s="101">
        <v>62667</v>
      </c>
      <c r="Z63" s="101">
        <v>110545</v>
      </c>
      <c r="AA63" s="107">
        <v>-17150</v>
      </c>
      <c r="AB63" s="98">
        <v>-17150</v>
      </c>
      <c r="AC63" s="98">
        <v>-17150</v>
      </c>
      <c r="AD63" s="98">
        <v>-17150</v>
      </c>
      <c r="AE63" s="98">
        <v>-17150</v>
      </c>
      <c r="AF63" s="99">
        <v>-87462</v>
      </c>
      <c r="AG63" s="107">
        <v>-6204.7499499999994</v>
      </c>
      <c r="AH63" s="98">
        <v>-6204.7499499999994</v>
      </c>
      <c r="AI63" s="98">
        <v>-6204.7499499999994</v>
      </c>
      <c r="AJ63" s="98">
        <v>-6204.7499499999994</v>
      </c>
      <c r="AK63" s="98">
        <v>-6204.7499499999994</v>
      </c>
      <c r="AL63" s="99">
        <v>-31643.139365999999</v>
      </c>
      <c r="AM63" s="107">
        <v>-10945.250050000001</v>
      </c>
      <c r="AN63" s="98">
        <v>-10945.250050000001</v>
      </c>
      <c r="AO63" s="98">
        <v>-10945.250050000001</v>
      </c>
      <c r="AP63" s="98">
        <v>-10945.250050000001</v>
      </c>
      <c r="AQ63" s="98">
        <v>-10945.250050000001</v>
      </c>
      <c r="AR63" s="99">
        <v>-55818.860633999997</v>
      </c>
      <c r="AS63" s="100">
        <v>-192874</v>
      </c>
      <c r="AT63" s="101">
        <v>-71028</v>
      </c>
      <c r="AU63" s="102">
        <v>-121846</v>
      </c>
      <c r="AV63" s="103">
        <v>4404371</v>
      </c>
      <c r="AW63" s="104">
        <v>3818338</v>
      </c>
      <c r="AX63" s="104">
        <v>3628664</v>
      </c>
      <c r="AY63" s="105">
        <v>4672252</v>
      </c>
      <c r="AZ63" s="103">
        <v>1593471</v>
      </c>
      <c r="BA63" s="104">
        <v>1381448</v>
      </c>
      <c r="BB63" s="104">
        <v>1312825</v>
      </c>
      <c r="BC63" s="105">
        <v>1690388</v>
      </c>
      <c r="BD63" s="103">
        <v>2810900</v>
      </c>
      <c r="BE63" s="104">
        <v>2436890</v>
      </c>
      <c r="BF63" s="104">
        <v>2315839</v>
      </c>
      <c r="BG63" s="105">
        <v>2981864</v>
      </c>
      <c r="BH63" s="64">
        <f t="shared" si="1"/>
        <v>3979.4910900001414</v>
      </c>
      <c r="BI63" s="106">
        <f t="shared" si="2"/>
        <v>7021.5089099998586</v>
      </c>
    </row>
    <row r="64" spans="2:61">
      <c r="B64" s="89" t="s">
        <v>303</v>
      </c>
      <c r="C64" s="90">
        <f>'[1]LEA - Summary GASB75'!H64</f>
        <v>3684099</v>
      </c>
      <c r="D64" s="91">
        <f t="shared" si="0"/>
        <v>1173890.253063</v>
      </c>
      <c r="E64" s="92">
        <v>3546936</v>
      </c>
      <c r="F64" s="93">
        <v>1130186</v>
      </c>
      <c r="G64" s="94">
        <v>0.318637</v>
      </c>
      <c r="H64" s="94">
        <v>0.68136299999999994</v>
      </c>
      <c r="I64" s="100">
        <v>3546936</v>
      </c>
      <c r="J64" s="101">
        <v>1130185</v>
      </c>
      <c r="K64" s="102">
        <v>2416751</v>
      </c>
      <c r="L64" s="100">
        <v>271325</v>
      </c>
      <c r="M64" s="101">
        <v>86454</v>
      </c>
      <c r="N64" s="101">
        <v>184871</v>
      </c>
      <c r="O64" s="100">
        <v>0</v>
      </c>
      <c r="P64" s="101">
        <v>0</v>
      </c>
      <c r="Q64" s="101">
        <v>0</v>
      </c>
      <c r="R64" s="100">
        <v>0</v>
      </c>
      <c r="S64" s="101">
        <v>0</v>
      </c>
      <c r="T64" s="101">
        <v>0</v>
      </c>
      <c r="U64" s="100">
        <v>0</v>
      </c>
      <c r="V64" s="101">
        <v>0</v>
      </c>
      <c r="W64" s="101">
        <v>0</v>
      </c>
      <c r="X64" s="100">
        <v>136731</v>
      </c>
      <c r="Y64" s="101">
        <v>43568</v>
      </c>
      <c r="Z64" s="101">
        <v>93163</v>
      </c>
      <c r="AA64" s="107">
        <v>-15192</v>
      </c>
      <c r="AB64" s="98">
        <v>-15192</v>
      </c>
      <c r="AC64" s="98">
        <v>-15192</v>
      </c>
      <c r="AD64" s="98">
        <v>-15192</v>
      </c>
      <c r="AE64" s="98">
        <v>-15192</v>
      </c>
      <c r="AF64" s="99">
        <v>-60771</v>
      </c>
      <c r="AG64" s="107">
        <v>-4840.7333040000003</v>
      </c>
      <c r="AH64" s="98">
        <v>-4840.7333040000003</v>
      </c>
      <c r="AI64" s="98">
        <v>-4840.7333040000003</v>
      </c>
      <c r="AJ64" s="98">
        <v>-4840.7333040000003</v>
      </c>
      <c r="AK64" s="98">
        <v>-4840.7333040000003</v>
      </c>
      <c r="AL64" s="99">
        <v>-19363.889126999999</v>
      </c>
      <c r="AM64" s="107">
        <v>-10351.266695999999</v>
      </c>
      <c r="AN64" s="98">
        <v>-10351.266695999999</v>
      </c>
      <c r="AO64" s="98">
        <v>-10351.266695999999</v>
      </c>
      <c r="AP64" s="98">
        <v>-10351.266695999999</v>
      </c>
      <c r="AQ64" s="98">
        <v>-10351.266695999999</v>
      </c>
      <c r="AR64" s="99">
        <v>-41407.110872999998</v>
      </c>
      <c r="AS64" s="100">
        <v>-285232</v>
      </c>
      <c r="AT64" s="101">
        <v>-79877</v>
      </c>
      <c r="AU64" s="102">
        <v>-205355</v>
      </c>
      <c r="AV64" s="103">
        <v>3785368</v>
      </c>
      <c r="AW64" s="104">
        <v>3320456</v>
      </c>
      <c r="AX64" s="104">
        <v>3187903</v>
      </c>
      <c r="AY64" s="105">
        <v>3972066</v>
      </c>
      <c r="AZ64" s="103">
        <v>1206158</v>
      </c>
      <c r="BA64" s="104">
        <v>1058020</v>
      </c>
      <c r="BB64" s="104">
        <v>1015784</v>
      </c>
      <c r="BC64" s="105">
        <v>1265647</v>
      </c>
      <c r="BD64" s="103">
        <v>2579210</v>
      </c>
      <c r="BE64" s="104">
        <v>2262436</v>
      </c>
      <c r="BF64" s="104">
        <v>2172119</v>
      </c>
      <c r="BG64" s="105">
        <v>2706419</v>
      </c>
      <c r="BH64" s="64">
        <f t="shared" si="1"/>
        <v>-43704.25306300004</v>
      </c>
      <c r="BI64" s="106">
        <f t="shared" si="2"/>
        <v>-93458.746937000193</v>
      </c>
    </row>
    <row r="65" spans="2:61">
      <c r="B65" s="89" t="s">
        <v>304</v>
      </c>
      <c r="C65" s="90">
        <f>'[1]LEA - Summary GASB75'!H65</f>
        <v>4892342</v>
      </c>
      <c r="D65" s="91">
        <f t="shared" si="0"/>
        <v>1191197.2148440001</v>
      </c>
      <c r="E65" s="92">
        <v>5022911</v>
      </c>
      <c r="F65" s="93">
        <v>1222989</v>
      </c>
      <c r="G65" s="94">
        <v>0.243482</v>
      </c>
      <c r="H65" s="94">
        <v>0.75651800000000002</v>
      </c>
      <c r="I65" s="100">
        <v>5022911</v>
      </c>
      <c r="J65" s="101">
        <v>1222988</v>
      </c>
      <c r="K65" s="102">
        <v>3799923</v>
      </c>
      <c r="L65" s="100">
        <v>509888</v>
      </c>
      <c r="M65" s="101">
        <v>124149</v>
      </c>
      <c r="N65" s="101">
        <v>385739</v>
      </c>
      <c r="O65" s="100">
        <v>0</v>
      </c>
      <c r="P65" s="101">
        <v>0</v>
      </c>
      <c r="Q65" s="101">
        <v>0</v>
      </c>
      <c r="R65" s="100">
        <v>0</v>
      </c>
      <c r="S65" s="101">
        <v>0</v>
      </c>
      <c r="T65" s="101">
        <v>0</v>
      </c>
      <c r="U65" s="100">
        <v>0</v>
      </c>
      <c r="V65" s="101">
        <v>0</v>
      </c>
      <c r="W65" s="101">
        <v>0</v>
      </c>
      <c r="X65" s="100">
        <v>237471</v>
      </c>
      <c r="Y65" s="101">
        <v>57820</v>
      </c>
      <c r="Z65" s="101">
        <v>179651</v>
      </c>
      <c r="AA65" s="107">
        <v>-24737</v>
      </c>
      <c r="AB65" s="98">
        <v>-24737</v>
      </c>
      <c r="AC65" s="98">
        <v>-24737</v>
      </c>
      <c r="AD65" s="98">
        <v>-24737</v>
      </c>
      <c r="AE65" s="98">
        <v>-24737</v>
      </c>
      <c r="AF65" s="99">
        <v>-113786</v>
      </c>
      <c r="AG65" s="107">
        <v>-6023.0142340000002</v>
      </c>
      <c r="AH65" s="98">
        <v>-6023.0142340000002</v>
      </c>
      <c r="AI65" s="98">
        <v>-6023.0142340000002</v>
      </c>
      <c r="AJ65" s="98">
        <v>-6023.0142340000002</v>
      </c>
      <c r="AK65" s="98">
        <v>-6023.0142340000002</v>
      </c>
      <c r="AL65" s="99">
        <v>-27704.842852000002</v>
      </c>
      <c r="AM65" s="107">
        <v>-18713.985765999998</v>
      </c>
      <c r="AN65" s="98">
        <v>-18713.985765999998</v>
      </c>
      <c r="AO65" s="98">
        <v>-18713.985765999998</v>
      </c>
      <c r="AP65" s="98">
        <v>-18713.985765999998</v>
      </c>
      <c r="AQ65" s="98">
        <v>-18713.985765999998</v>
      </c>
      <c r="AR65" s="99">
        <v>-86081.157147999998</v>
      </c>
      <c r="AS65" s="100">
        <v>-173362</v>
      </c>
      <c r="AT65" s="101">
        <v>-43044</v>
      </c>
      <c r="AU65" s="102">
        <v>-130318</v>
      </c>
      <c r="AV65" s="103">
        <v>5435547</v>
      </c>
      <c r="AW65" s="104">
        <v>4631891</v>
      </c>
      <c r="AX65" s="104">
        <v>4363585</v>
      </c>
      <c r="AY65" s="105">
        <v>5818941</v>
      </c>
      <c r="AZ65" s="103">
        <v>1323458</v>
      </c>
      <c r="BA65" s="104">
        <v>1127782</v>
      </c>
      <c r="BB65" s="104">
        <v>1062454</v>
      </c>
      <c r="BC65" s="105">
        <v>1416807</v>
      </c>
      <c r="BD65" s="103">
        <v>4112089</v>
      </c>
      <c r="BE65" s="104">
        <v>3504109</v>
      </c>
      <c r="BF65" s="104">
        <v>3301131</v>
      </c>
      <c r="BG65" s="105">
        <v>4402134</v>
      </c>
      <c r="BH65" s="64">
        <f t="shared" si="1"/>
        <v>31791.78515599994</v>
      </c>
      <c r="BI65" s="106">
        <f t="shared" si="2"/>
        <v>98777.21484400006</v>
      </c>
    </row>
    <row r="66" spans="2:61">
      <c r="B66" s="89" t="s">
        <v>305</v>
      </c>
      <c r="C66" s="90">
        <f>'[1]LEA - Summary GASB75'!H66</f>
        <v>0</v>
      </c>
      <c r="D66" s="91">
        <f t="shared" si="0"/>
        <v>0</v>
      </c>
      <c r="E66" s="92">
        <v>0</v>
      </c>
      <c r="F66" s="93">
        <v>0</v>
      </c>
      <c r="G66" s="94">
        <v>0</v>
      </c>
      <c r="H66" s="94">
        <v>1</v>
      </c>
      <c r="I66" s="100">
        <v>0</v>
      </c>
      <c r="J66" s="101">
        <v>0</v>
      </c>
      <c r="K66" s="102">
        <v>0</v>
      </c>
      <c r="L66" s="100">
        <v>0</v>
      </c>
      <c r="M66" s="101">
        <v>0</v>
      </c>
      <c r="N66" s="101">
        <v>0</v>
      </c>
      <c r="O66" s="100">
        <v>0</v>
      </c>
      <c r="P66" s="101">
        <v>0</v>
      </c>
      <c r="Q66" s="101">
        <v>0</v>
      </c>
      <c r="R66" s="100">
        <v>0</v>
      </c>
      <c r="S66" s="101">
        <v>0</v>
      </c>
      <c r="T66" s="101">
        <v>0</v>
      </c>
      <c r="U66" s="100">
        <v>0</v>
      </c>
      <c r="V66" s="101">
        <v>0</v>
      </c>
      <c r="W66" s="101">
        <v>0</v>
      </c>
      <c r="X66" s="100">
        <v>0</v>
      </c>
      <c r="Y66" s="101">
        <v>0</v>
      </c>
      <c r="Z66" s="101">
        <v>0</v>
      </c>
      <c r="AA66" s="107">
        <v>0</v>
      </c>
      <c r="AB66" s="98">
        <v>0</v>
      </c>
      <c r="AC66" s="98">
        <v>0</v>
      </c>
      <c r="AD66" s="98">
        <v>0</v>
      </c>
      <c r="AE66" s="98">
        <v>0</v>
      </c>
      <c r="AF66" s="99">
        <v>0</v>
      </c>
      <c r="AG66" s="107">
        <v>0</v>
      </c>
      <c r="AH66" s="98">
        <v>0</v>
      </c>
      <c r="AI66" s="98">
        <v>0</v>
      </c>
      <c r="AJ66" s="98">
        <v>0</v>
      </c>
      <c r="AK66" s="98">
        <v>0</v>
      </c>
      <c r="AL66" s="99">
        <v>0</v>
      </c>
      <c r="AM66" s="107">
        <v>0</v>
      </c>
      <c r="AN66" s="98">
        <v>0</v>
      </c>
      <c r="AO66" s="98">
        <v>0</v>
      </c>
      <c r="AP66" s="98">
        <v>0</v>
      </c>
      <c r="AQ66" s="98">
        <v>0</v>
      </c>
      <c r="AR66" s="99">
        <v>0</v>
      </c>
      <c r="AS66" s="100">
        <v>0</v>
      </c>
      <c r="AT66" s="101">
        <v>0</v>
      </c>
      <c r="AU66" s="102">
        <v>0</v>
      </c>
      <c r="AV66" s="103">
        <v>0</v>
      </c>
      <c r="AW66" s="104">
        <v>0</v>
      </c>
      <c r="AX66" s="104">
        <v>0</v>
      </c>
      <c r="AY66" s="105">
        <v>0</v>
      </c>
      <c r="AZ66" s="103">
        <v>0</v>
      </c>
      <c r="BA66" s="104">
        <v>0</v>
      </c>
      <c r="BB66" s="104">
        <v>0</v>
      </c>
      <c r="BC66" s="105">
        <v>0</v>
      </c>
      <c r="BD66" s="103">
        <v>0</v>
      </c>
      <c r="BE66" s="104">
        <v>0</v>
      </c>
      <c r="BF66" s="104">
        <v>0</v>
      </c>
      <c r="BG66" s="105">
        <v>0</v>
      </c>
      <c r="BH66" s="64">
        <f t="shared" si="1"/>
        <v>0</v>
      </c>
      <c r="BI66" s="106">
        <f t="shared" si="2"/>
        <v>0</v>
      </c>
    </row>
    <row r="67" spans="2:61">
      <c r="B67" s="89" t="s">
        <v>306</v>
      </c>
      <c r="C67" s="90">
        <f>'[1]LEA - Summary GASB75'!H67</f>
        <v>1128532</v>
      </c>
      <c r="D67" s="91">
        <f t="shared" si="0"/>
        <v>405996.158192</v>
      </c>
      <c r="E67" s="92">
        <v>1094760</v>
      </c>
      <c r="F67" s="93">
        <v>393846</v>
      </c>
      <c r="G67" s="94">
        <v>0.35975600000000002</v>
      </c>
      <c r="H67" s="94">
        <v>0.64024400000000004</v>
      </c>
      <c r="I67" s="100">
        <v>1094760</v>
      </c>
      <c r="J67" s="101">
        <v>393846</v>
      </c>
      <c r="K67" s="102">
        <v>700914</v>
      </c>
      <c r="L67" s="100">
        <v>94468</v>
      </c>
      <c r="M67" s="101">
        <v>33985</v>
      </c>
      <c r="N67" s="101">
        <v>60483</v>
      </c>
      <c r="O67" s="100">
        <v>0</v>
      </c>
      <c r="P67" s="101">
        <v>0</v>
      </c>
      <c r="Q67" s="101">
        <v>0</v>
      </c>
      <c r="R67" s="100">
        <v>0</v>
      </c>
      <c r="S67" s="101">
        <v>0</v>
      </c>
      <c r="T67" s="101">
        <v>0</v>
      </c>
      <c r="U67" s="100">
        <v>0</v>
      </c>
      <c r="V67" s="101">
        <v>0</v>
      </c>
      <c r="W67" s="101">
        <v>0</v>
      </c>
      <c r="X67" s="100">
        <v>43117</v>
      </c>
      <c r="Y67" s="101">
        <v>15512</v>
      </c>
      <c r="Z67" s="101">
        <v>27605</v>
      </c>
      <c r="AA67" s="107">
        <v>-4355</v>
      </c>
      <c r="AB67" s="98">
        <v>-4355</v>
      </c>
      <c r="AC67" s="98">
        <v>-4355</v>
      </c>
      <c r="AD67" s="98">
        <v>-4355</v>
      </c>
      <c r="AE67" s="98">
        <v>-4355</v>
      </c>
      <c r="AF67" s="99">
        <v>-21342</v>
      </c>
      <c r="AG67" s="107">
        <v>-1566.73738</v>
      </c>
      <c r="AH67" s="98">
        <v>-1566.73738</v>
      </c>
      <c r="AI67" s="98">
        <v>-1566.73738</v>
      </c>
      <c r="AJ67" s="98">
        <v>-1566.73738</v>
      </c>
      <c r="AK67" s="98">
        <v>-1566.73738</v>
      </c>
      <c r="AL67" s="99">
        <v>-7677.9125520000007</v>
      </c>
      <c r="AM67" s="107">
        <v>-2788.26262</v>
      </c>
      <c r="AN67" s="98">
        <v>-2788.26262</v>
      </c>
      <c r="AO67" s="98">
        <v>-2788.26262</v>
      </c>
      <c r="AP67" s="98">
        <v>-2788.26262</v>
      </c>
      <c r="AQ67" s="98">
        <v>-2788.26262</v>
      </c>
      <c r="AR67" s="99">
        <v>-13664.087447999998</v>
      </c>
      <c r="AS67" s="100">
        <v>-90290</v>
      </c>
      <c r="AT67" s="101">
        <v>-33961</v>
      </c>
      <c r="AU67" s="102">
        <v>-56329</v>
      </c>
      <c r="AV67" s="103">
        <v>1169633</v>
      </c>
      <c r="AW67" s="104">
        <v>1022828</v>
      </c>
      <c r="AX67" s="104">
        <v>977797</v>
      </c>
      <c r="AY67" s="105">
        <v>1232892</v>
      </c>
      <c r="AZ67" s="103">
        <v>420782</v>
      </c>
      <c r="BA67" s="104">
        <v>367969</v>
      </c>
      <c r="BB67" s="104">
        <v>351768</v>
      </c>
      <c r="BC67" s="105">
        <v>443540</v>
      </c>
      <c r="BD67" s="103">
        <v>748851</v>
      </c>
      <c r="BE67" s="104">
        <v>654859</v>
      </c>
      <c r="BF67" s="104">
        <v>626029</v>
      </c>
      <c r="BG67" s="105">
        <v>789352</v>
      </c>
      <c r="BH67" s="64">
        <f t="shared" si="1"/>
        <v>-12150.158192000003</v>
      </c>
      <c r="BI67" s="106">
        <f t="shared" si="2"/>
        <v>-21621.841807999997</v>
      </c>
    </row>
    <row r="68" spans="2:61">
      <c r="B68" s="89" t="s">
        <v>307</v>
      </c>
      <c r="C68" s="90">
        <f>'[1]LEA - Summary GASB75'!H68</f>
        <v>2191072</v>
      </c>
      <c r="D68" s="91">
        <f t="shared" si="0"/>
        <v>662591.12815999996</v>
      </c>
      <c r="E68" s="92">
        <v>2124449</v>
      </c>
      <c r="F68" s="93">
        <v>642443</v>
      </c>
      <c r="G68" s="94">
        <v>0.30240499999999998</v>
      </c>
      <c r="H68" s="94">
        <v>0.69759499999999997</v>
      </c>
      <c r="I68" s="100">
        <v>2124449</v>
      </c>
      <c r="J68" s="101">
        <v>642444</v>
      </c>
      <c r="K68" s="102">
        <v>1482005</v>
      </c>
      <c r="L68" s="100">
        <v>189731</v>
      </c>
      <c r="M68" s="101">
        <v>57376</v>
      </c>
      <c r="N68" s="101">
        <v>132355</v>
      </c>
      <c r="O68" s="100">
        <v>0</v>
      </c>
      <c r="P68" s="101">
        <v>0</v>
      </c>
      <c r="Q68" s="101">
        <v>0</v>
      </c>
      <c r="R68" s="100">
        <v>0</v>
      </c>
      <c r="S68" s="101">
        <v>0</v>
      </c>
      <c r="T68" s="101">
        <v>0</v>
      </c>
      <c r="U68" s="100">
        <v>0</v>
      </c>
      <c r="V68" s="101">
        <v>0</v>
      </c>
      <c r="W68" s="101">
        <v>0</v>
      </c>
      <c r="X68" s="100">
        <v>88843</v>
      </c>
      <c r="Y68" s="101">
        <v>26867</v>
      </c>
      <c r="Z68" s="101">
        <v>61976</v>
      </c>
      <c r="AA68" s="107">
        <v>-9872</v>
      </c>
      <c r="AB68" s="98">
        <v>-9872</v>
      </c>
      <c r="AC68" s="98">
        <v>-9872</v>
      </c>
      <c r="AD68" s="98">
        <v>-9872</v>
      </c>
      <c r="AE68" s="98">
        <v>-9872</v>
      </c>
      <c r="AF68" s="99">
        <v>-39483</v>
      </c>
      <c r="AG68" s="107">
        <v>-2985.3421599999997</v>
      </c>
      <c r="AH68" s="98">
        <v>-2985.3421599999997</v>
      </c>
      <c r="AI68" s="98">
        <v>-2985.3421599999997</v>
      </c>
      <c r="AJ68" s="98">
        <v>-2985.3421599999997</v>
      </c>
      <c r="AK68" s="98">
        <v>-2985.3421599999997</v>
      </c>
      <c r="AL68" s="99">
        <v>-11939.856614999999</v>
      </c>
      <c r="AM68" s="107">
        <v>-6886.6578399999999</v>
      </c>
      <c r="AN68" s="98">
        <v>-6886.6578399999999</v>
      </c>
      <c r="AO68" s="98">
        <v>-6886.6578399999999</v>
      </c>
      <c r="AP68" s="98">
        <v>-6886.6578399999999</v>
      </c>
      <c r="AQ68" s="98">
        <v>-6886.6578399999999</v>
      </c>
      <c r="AR68" s="99">
        <v>-27543.143385000003</v>
      </c>
      <c r="AS68" s="100">
        <v>-176777</v>
      </c>
      <c r="AT68" s="101">
        <v>-42018</v>
      </c>
      <c r="AU68" s="102">
        <v>-134759</v>
      </c>
      <c r="AV68" s="103">
        <v>2280304</v>
      </c>
      <c r="AW68" s="104">
        <v>1978392</v>
      </c>
      <c r="AX68" s="104">
        <v>1891515</v>
      </c>
      <c r="AY68" s="105">
        <v>2407275</v>
      </c>
      <c r="AZ68" s="103">
        <v>689575</v>
      </c>
      <c r="BA68" s="104">
        <v>598276</v>
      </c>
      <c r="BB68" s="104">
        <v>572004</v>
      </c>
      <c r="BC68" s="105">
        <v>727972</v>
      </c>
      <c r="BD68" s="103">
        <v>1590729</v>
      </c>
      <c r="BE68" s="104">
        <v>1380116</v>
      </c>
      <c r="BF68" s="104">
        <v>1319511</v>
      </c>
      <c r="BG68" s="105">
        <v>1679303</v>
      </c>
      <c r="BH68" s="64">
        <f t="shared" si="1"/>
        <v>-20148.128159999964</v>
      </c>
      <c r="BI68" s="106">
        <f t="shared" si="2"/>
        <v>-46474.871840000153</v>
      </c>
    </row>
    <row r="69" spans="2:61">
      <c r="B69" s="89" t="s">
        <v>308</v>
      </c>
      <c r="C69" s="90">
        <f>'[1]LEA - Summary GASB75'!H69</f>
        <v>6359074</v>
      </c>
      <c r="D69" s="91">
        <f t="shared" si="0"/>
        <v>2089203.8128860001</v>
      </c>
      <c r="E69" s="92">
        <v>6328405</v>
      </c>
      <c r="F69" s="93">
        <v>2079128</v>
      </c>
      <c r="G69" s="94">
        <v>0.32853900000000003</v>
      </c>
      <c r="H69" s="94">
        <v>0.67146099999999997</v>
      </c>
      <c r="I69" s="100">
        <v>6328405</v>
      </c>
      <c r="J69" s="101">
        <v>2079128</v>
      </c>
      <c r="K69" s="102">
        <v>4249277</v>
      </c>
      <c r="L69" s="100">
        <v>503934</v>
      </c>
      <c r="M69" s="101">
        <v>165562</v>
      </c>
      <c r="N69" s="101">
        <v>338372</v>
      </c>
      <c r="O69" s="100">
        <v>0</v>
      </c>
      <c r="P69" s="101">
        <v>0</v>
      </c>
      <c r="Q69" s="101">
        <v>0</v>
      </c>
      <c r="R69" s="100">
        <v>0</v>
      </c>
      <c r="S69" s="101">
        <v>0</v>
      </c>
      <c r="T69" s="101">
        <v>0</v>
      </c>
      <c r="U69" s="100">
        <v>0</v>
      </c>
      <c r="V69" s="101">
        <v>0</v>
      </c>
      <c r="W69" s="101">
        <v>0</v>
      </c>
      <c r="X69" s="100">
        <v>275746</v>
      </c>
      <c r="Y69" s="101">
        <v>90593</v>
      </c>
      <c r="Z69" s="101">
        <v>185153</v>
      </c>
      <c r="AA69" s="107">
        <v>-29650</v>
      </c>
      <c r="AB69" s="98">
        <v>-29650</v>
      </c>
      <c r="AC69" s="98">
        <v>-29650</v>
      </c>
      <c r="AD69" s="98">
        <v>-29650</v>
      </c>
      <c r="AE69" s="98">
        <v>-29650</v>
      </c>
      <c r="AF69" s="99">
        <v>-127496</v>
      </c>
      <c r="AG69" s="107">
        <v>-9741.1813500000007</v>
      </c>
      <c r="AH69" s="98">
        <v>-9741.1813500000007</v>
      </c>
      <c r="AI69" s="98">
        <v>-9741.1813500000007</v>
      </c>
      <c r="AJ69" s="98">
        <v>-9741.1813500000007</v>
      </c>
      <c r="AK69" s="98">
        <v>-9741.1813500000007</v>
      </c>
      <c r="AL69" s="99">
        <v>-41887.408344000003</v>
      </c>
      <c r="AM69" s="107">
        <v>-19908.818650000001</v>
      </c>
      <c r="AN69" s="98">
        <v>-19908.818650000001</v>
      </c>
      <c r="AO69" s="98">
        <v>-19908.818650000001</v>
      </c>
      <c r="AP69" s="98">
        <v>-19908.818650000001</v>
      </c>
      <c r="AQ69" s="98">
        <v>-19908.818650000001</v>
      </c>
      <c r="AR69" s="99">
        <v>-85608.591656000004</v>
      </c>
      <c r="AS69" s="100">
        <v>-281258</v>
      </c>
      <c r="AT69" s="101">
        <v>-72459</v>
      </c>
      <c r="AU69" s="102">
        <v>-208799</v>
      </c>
      <c r="AV69" s="103">
        <v>6808929</v>
      </c>
      <c r="AW69" s="104">
        <v>5869845</v>
      </c>
      <c r="AX69" s="104">
        <v>5586571</v>
      </c>
      <c r="AY69" s="105">
        <v>7205428</v>
      </c>
      <c r="AZ69" s="103">
        <v>2236999</v>
      </c>
      <c r="BA69" s="104">
        <v>1928473</v>
      </c>
      <c r="BB69" s="104">
        <v>1835406</v>
      </c>
      <c r="BC69" s="105">
        <v>2367264</v>
      </c>
      <c r="BD69" s="103">
        <v>4571930</v>
      </c>
      <c r="BE69" s="104">
        <v>3941372</v>
      </c>
      <c r="BF69" s="104">
        <v>3751165</v>
      </c>
      <c r="BG69" s="105">
        <v>4838164</v>
      </c>
      <c r="BH69" s="64">
        <f t="shared" si="1"/>
        <v>-10075.812886000145</v>
      </c>
      <c r="BI69" s="106">
        <f t="shared" si="2"/>
        <v>-20593.18711400032</v>
      </c>
    </row>
    <row r="70" spans="2:61">
      <c r="B70" s="89" t="s">
        <v>309</v>
      </c>
      <c r="C70" s="90">
        <f>'[1]LEA - Summary GASB75'!H70</f>
        <v>1516369</v>
      </c>
      <c r="D70" s="91">
        <f t="shared" ref="D70:D133" si="3">C70*G70</f>
        <v>556596.88877100009</v>
      </c>
      <c r="E70" s="92">
        <v>1461833</v>
      </c>
      <c r="F70" s="93">
        <v>536579</v>
      </c>
      <c r="G70" s="94">
        <v>0.36705900000000002</v>
      </c>
      <c r="H70" s="94">
        <v>0.63294099999999998</v>
      </c>
      <c r="I70" s="100">
        <v>1461833</v>
      </c>
      <c r="J70" s="101">
        <v>536579</v>
      </c>
      <c r="K70" s="102">
        <v>925254</v>
      </c>
      <c r="L70" s="100">
        <v>116043</v>
      </c>
      <c r="M70" s="101">
        <v>42595</v>
      </c>
      <c r="N70" s="101">
        <v>73448</v>
      </c>
      <c r="O70" s="100">
        <v>0</v>
      </c>
      <c r="P70" s="101">
        <v>0</v>
      </c>
      <c r="Q70" s="101">
        <v>0</v>
      </c>
      <c r="R70" s="100">
        <v>0</v>
      </c>
      <c r="S70" s="101">
        <v>0</v>
      </c>
      <c r="T70" s="101">
        <v>0</v>
      </c>
      <c r="U70" s="100">
        <v>0</v>
      </c>
      <c r="V70" s="101">
        <v>0</v>
      </c>
      <c r="W70" s="101">
        <v>0</v>
      </c>
      <c r="X70" s="100">
        <v>59296</v>
      </c>
      <c r="Y70" s="101">
        <v>21765</v>
      </c>
      <c r="Z70" s="101">
        <v>37531</v>
      </c>
      <c r="AA70" s="107">
        <v>-5930</v>
      </c>
      <c r="AB70" s="98">
        <v>-5930</v>
      </c>
      <c r="AC70" s="98">
        <v>-5930</v>
      </c>
      <c r="AD70" s="98">
        <v>-5930</v>
      </c>
      <c r="AE70" s="98">
        <v>-5930</v>
      </c>
      <c r="AF70" s="99">
        <v>-29646</v>
      </c>
      <c r="AG70" s="107">
        <v>-2176.65987</v>
      </c>
      <c r="AH70" s="98">
        <v>-2176.65987</v>
      </c>
      <c r="AI70" s="98">
        <v>-2176.65987</v>
      </c>
      <c r="AJ70" s="98">
        <v>-2176.65987</v>
      </c>
      <c r="AK70" s="98">
        <v>-2176.65987</v>
      </c>
      <c r="AL70" s="99">
        <v>-10881.831114000001</v>
      </c>
      <c r="AM70" s="107">
        <v>-3753.34013</v>
      </c>
      <c r="AN70" s="98">
        <v>-3753.34013</v>
      </c>
      <c r="AO70" s="98">
        <v>-3753.34013</v>
      </c>
      <c r="AP70" s="98">
        <v>-3753.34013</v>
      </c>
      <c r="AQ70" s="98">
        <v>-3753.34013</v>
      </c>
      <c r="AR70" s="99">
        <v>-18764.168885999999</v>
      </c>
      <c r="AS70" s="100">
        <v>-117129</v>
      </c>
      <c r="AT70" s="101">
        <v>-44447</v>
      </c>
      <c r="AU70" s="102">
        <v>-72682</v>
      </c>
      <c r="AV70" s="103">
        <v>1564240</v>
      </c>
      <c r="AW70" s="104">
        <v>1364278</v>
      </c>
      <c r="AX70" s="104">
        <v>1303319</v>
      </c>
      <c r="AY70" s="105">
        <v>1651631</v>
      </c>
      <c r="AZ70" s="103">
        <v>574168</v>
      </c>
      <c r="BA70" s="104">
        <v>500771</v>
      </c>
      <c r="BB70" s="104">
        <v>478395</v>
      </c>
      <c r="BC70" s="105">
        <v>606246</v>
      </c>
      <c r="BD70" s="103">
        <v>990072</v>
      </c>
      <c r="BE70" s="104">
        <v>863507</v>
      </c>
      <c r="BF70" s="104">
        <v>824924</v>
      </c>
      <c r="BG70" s="105">
        <v>1045385</v>
      </c>
      <c r="BH70" s="64">
        <f t="shared" ref="BH70:BH133" si="4">F70-D70</f>
        <v>-20017.888771000085</v>
      </c>
      <c r="BI70" s="106">
        <f t="shared" ref="BI70:BI133" si="5">(E70-F70)-(C70-D70)</f>
        <v>-34518.111228999915</v>
      </c>
    </row>
    <row r="71" spans="2:61">
      <c r="B71" s="89" t="s">
        <v>310</v>
      </c>
      <c r="C71" s="90">
        <f>'[1]LEA - Summary GASB75'!H71</f>
        <v>1817182</v>
      </c>
      <c r="D71" s="91">
        <f t="shared" si="3"/>
        <v>635379.50348199997</v>
      </c>
      <c r="E71" s="92">
        <v>1786173</v>
      </c>
      <c r="F71" s="93">
        <v>624538</v>
      </c>
      <c r="G71" s="94">
        <v>0.34965099999999999</v>
      </c>
      <c r="H71" s="94">
        <v>0.65034900000000007</v>
      </c>
      <c r="I71" s="100">
        <v>1786173</v>
      </c>
      <c r="J71" s="101">
        <v>624537</v>
      </c>
      <c r="K71" s="102">
        <v>1161636</v>
      </c>
      <c r="L71" s="100">
        <v>145695</v>
      </c>
      <c r="M71" s="101">
        <v>50942</v>
      </c>
      <c r="N71" s="101">
        <v>94753</v>
      </c>
      <c r="O71" s="100">
        <v>0</v>
      </c>
      <c r="P71" s="101">
        <v>0</v>
      </c>
      <c r="Q71" s="101">
        <v>0</v>
      </c>
      <c r="R71" s="100">
        <v>0</v>
      </c>
      <c r="S71" s="101">
        <v>0</v>
      </c>
      <c r="T71" s="101">
        <v>0</v>
      </c>
      <c r="U71" s="100">
        <v>0</v>
      </c>
      <c r="V71" s="101">
        <v>0</v>
      </c>
      <c r="W71" s="101">
        <v>0</v>
      </c>
      <c r="X71" s="100">
        <v>67427</v>
      </c>
      <c r="Y71" s="101">
        <v>23576</v>
      </c>
      <c r="Z71" s="101">
        <v>43851</v>
      </c>
      <c r="AA71" s="107">
        <v>-7329</v>
      </c>
      <c r="AB71" s="98">
        <v>-7329</v>
      </c>
      <c r="AC71" s="98">
        <v>-7329</v>
      </c>
      <c r="AD71" s="98">
        <v>-7329</v>
      </c>
      <c r="AE71" s="98">
        <v>-7329</v>
      </c>
      <c r="AF71" s="99">
        <v>-30782</v>
      </c>
      <c r="AG71" s="107">
        <v>-2562.5921789999998</v>
      </c>
      <c r="AH71" s="98">
        <v>-2562.5921789999998</v>
      </c>
      <c r="AI71" s="98">
        <v>-2562.5921789999998</v>
      </c>
      <c r="AJ71" s="98">
        <v>-2562.5921789999998</v>
      </c>
      <c r="AK71" s="98">
        <v>-2562.5921789999998</v>
      </c>
      <c r="AL71" s="99">
        <v>-10762.957081999999</v>
      </c>
      <c r="AM71" s="107">
        <v>-4766.4078210000007</v>
      </c>
      <c r="AN71" s="98">
        <v>-4766.4078210000007</v>
      </c>
      <c r="AO71" s="98">
        <v>-4766.4078210000007</v>
      </c>
      <c r="AP71" s="98">
        <v>-4766.4078210000007</v>
      </c>
      <c r="AQ71" s="98">
        <v>-4766.4078210000007</v>
      </c>
      <c r="AR71" s="99">
        <v>-20019.042917999999</v>
      </c>
      <c r="AS71" s="100">
        <v>-118738</v>
      </c>
      <c r="AT71" s="101">
        <v>-44933</v>
      </c>
      <c r="AU71" s="102">
        <v>-73805</v>
      </c>
      <c r="AV71" s="103">
        <v>1903671</v>
      </c>
      <c r="AW71" s="104">
        <v>1673443</v>
      </c>
      <c r="AX71" s="104">
        <v>1601299</v>
      </c>
      <c r="AY71" s="105">
        <v>2005339</v>
      </c>
      <c r="AZ71" s="103">
        <v>665620</v>
      </c>
      <c r="BA71" s="104">
        <v>585121</v>
      </c>
      <c r="BB71" s="104">
        <v>559896</v>
      </c>
      <c r="BC71" s="105">
        <v>701169</v>
      </c>
      <c r="BD71" s="103">
        <v>1238051</v>
      </c>
      <c r="BE71" s="104">
        <v>1088322</v>
      </c>
      <c r="BF71" s="104">
        <v>1041403</v>
      </c>
      <c r="BG71" s="105">
        <v>1304170</v>
      </c>
      <c r="BH71" s="64">
        <f t="shared" si="4"/>
        <v>-10841.503481999971</v>
      </c>
      <c r="BI71" s="106">
        <f t="shared" si="5"/>
        <v>-20167.496518000029</v>
      </c>
    </row>
    <row r="72" spans="2:61">
      <c r="B72" s="89" t="s">
        <v>311</v>
      </c>
      <c r="C72" s="90">
        <f>'[1]LEA - Summary GASB75'!H72</f>
        <v>22052110</v>
      </c>
      <c r="D72" s="91">
        <f t="shared" si="3"/>
        <v>6598873.3964</v>
      </c>
      <c r="E72" s="92">
        <v>21274540</v>
      </c>
      <c r="F72" s="93">
        <v>6366186</v>
      </c>
      <c r="G72" s="94">
        <v>0.29924000000000001</v>
      </c>
      <c r="H72" s="94">
        <v>0.70076000000000005</v>
      </c>
      <c r="I72" s="100">
        <v>21274540</v>
      </c>
      <c r="J72" s="101">
        <v>6366193</v>
      </c>
      <c r="K72" s="102">
        <v>14908347</v>
      </c>
      <c r="L72" s="100">
        <v>1615348</v>
      </c>
      <c r="M72" s="101">
        <v>483377</v>
      </c>
      <c r="N72" s="101">
        <v>1131971</v>
      </c>
      <c r="O72" s="100">
        <v>0</v>
      </c>
      <c r="P72" s="101">
        <v>0</v>
      </c>
      <c r="Q72" s="101">
        <v>0</v>
      </c>
      <c r="R72" s="100">
        <v>0</v>
      </c>
      <c r="S72" s="101">
        <v>0</v>
      </c>
      <c r="T72" s="101">
        <v>0</v>
      </c>
      <c r="U72" s="100">
        <v>0</v>
      </c>
      <c r="V72" s="101">
        <v>0</v>
      </c>
      <c r="W72" s="101">
        <v>0</v>
      </c>
      <c r="X72" s="100">
        <v>752986</v>
      </c>
      <c r="Y72" s="101">
        <v>225324</v>
      </c>
      <c r="Z72" s="101">
        <v>527662</v>
      </c>
      <c r="AA72" s="107">
        <v>-89641</v>
      </c>
      <c r="AB72" s="98">
        <v>-89641</v>
      </c>
      <c r="AC72" s="98">
        <v>-89641</v>
      </c>
      <c r="AD72" s="98">
        <v>-89641</v>
      </c>
      <c r="AE72" s="98">
        <v>-89641</v>
      </c>
      <c r="AF72" s="99">
        <v>-304781</v>
      </c>
      <c r="AG72" s="107">
        <v>-26824.172839999999</v>
      </c>
      <c r="AH72" s="98">
        <v>-26824.172839999999</v>
      </c>
      <c r="AI72" s="98">
        <v>-26824.172839999999</v>
      </c>
      <c r="AJ72" s="98">
        <v>-26824.172839999999</v>
      </c>
      <c r="AK72" s="98">
        <v>-26824.172839999999</v>
      </c>
      <c r="AL72" s="99">
        <v>-91202.666440000001</v>
      </c>
      <c r="AM72" s="107">
        <v>-62816.827160000001</v>
      </c>
      <c r="AN72" s="98">
        <v>-62816.827160000001</v>
      </c>
      <c r="AO72" s="98">
        <v>-62816.827160000001</v>
      </c>
      <c r="AP72" s="98">
        <v>-62816.827160000001</v>
      </c>
      <c r="AQ72" s="98">
        <v>-62816.827160000001</v>
      </c>
      <c r="AR72" s="99">
        <v>-213578.33356</v>
      </c>
      <c r="AS72" s="100">
        <v>-1762038</v>
      </c>
      <c r="AT72" s="101">
        <v>-499468</v>
      </c>
      <c r="AU72" s="102">
        <v>-1262570</v>
      </c>
      <c r="AV72" s="103">
        <v>22603489</v>
      </c>
      <c r="AW72" s="104">
        <v>20018059</v>
      </c>
      <c r="AX72" s="104">
        <v>19329829</v>
      </c>
      <c r="AY72" s="105">
        <v>23551499</v>
      </c>
      <c r="AZ72" s="103">
        <v>6763868</v>
      </c>
      <c r="BA72" s="104">
        <v>5990204</v>
      </c>
      <c r="BB72" s="104">
        <v>5784258</v>
      </c>
      <c r="BC72" s="105">
        <v>7047551</v>
      </c>
      <c r="BD72" s="103">
        <v>15839621</v>
      </c>
      <c r="BE72" s="104">
        <v>14027855</v>
      </c>
      <c r="BF72" s="104">
        <v>13545571</v>
      </c>
      <c r="BG72" s="105">
        <v>16503948</v>
      </c>
      <c r="BH72" s="64">
        <f t="shared" si="4"/>
        <v>-232687.39639999997</v>
      </c>
      <c r="BI72" s="106">
        <f t="shared" si="5"/>
        <v>-544882.6035999991</v>
      </c>
    </row>
    <row r="73" spans="2:61">
      <c r="B73" s="89" t="s">
        <v>312</v>
      </c>
      <c r="C73" s="90">
        <f>'[1]LEA - Summary GASB75'!H73</f>
        <v>20622056</v>
      </c>
      <c r="D73" s="91">
        <f t="shared" si="3"/>
        <v>4517859.4064239999</v>
      </c>
      <c r="E73" s="92">
        <v>20666956</v>
      </c>
      <c r="F73" s="93">
        <v>4527696</v>
      </c>
      <c r="G73" s="94">
        <v>0.219079</v>
      </c>
      <c r="H73" s="94">
        <v>0.78092099999999998</v>
      </c>
      <c r="I73" s="100">
        <v>20666956</v>
      </c>
      <c r="J73" s="101">
        <v>4527696</v>
      </c>
      <c r="K73" s="102">
        <v>16139260</v>
      </c>
      <c r="L73" s="100">
        <v>1754263</v>
      </c>
      <c r="M73" s="101">
        <v>384322</v>
      </c>
      <c r="N73" s="101">
        <v>1369941</v>
      </c>
      <c r="O73" s="100">
        <v>0</v>
      </c>
      <c r="P73" s="101">
        <v>0</v>
      </c>
      <c r="Q73" s="101">
        <v>0</v>
      </c>
      <c r="R73" s="100">
        <v>0</v>
      </c>
      <c r="S73" s="101">
        <v>0</v>
      </c>
      <c r="T73" s="101">
        <v>0</v>
      </c>
      <c r="U73" s="100">
        <v>0</v>
      </c>
      <c r="V73" s="101">
        <v>0</v>
      </c>
      <c r="W73" s="101">
        <v>0</v>
      </c>
      <c r="X73" s="100">
        <v>845912</v>
      </c>
      <c r="Y73" s="101">
        <v>185322</v>
      </c>
      <c r="Z73" s="101">
        <v>660590</v>
      </c>
      <c r="AA73" s="107">
        <v>-95046</v>
      </c>
      <c r="AB73" s="98">
        <v>-95046</v>
      </c>
      <c r="AC73" s="98">
        <v>-95046</v>
      </c>
      <c r="AD73" s="98">
        <v>-95046</v>
      </c>
      <c r="AE73" s="98">
        <v>-95046</v>
      </c>
      <c r="AF73" s="99">
        <v>-370682</v>
      </c>
      <c r="AG73" s="107">
        <v>-20822.582633999999</v>
      </c>
      <c r="AH73" s="98">
        <v>-20822.582633999999</v>
      </c>
      <c r="AI73" s="98">
        <v>-20822.582633999999</v>
      </c>
      <c r="AJ73" s="98">
        <v>-20822.582633999999</v>
      </c>
      <c r="AK73" s="98">
        <v>-20822.582633999999</v>
      </c>
      <c r="AL73" s="99">
        <v>-81208.641877999995</v>
      </c>
      <c r="AM73" s="107">
        <v>-74223.417366000009</v>
      </c>
      <c r="AN73" s="98">
        <v>-74223.417366000009</v>
      </c>
      <c r="AO73" s="98">
        <v>-74223.417366000009</v>
      </c>
      <c r="AP73" s="98">
        <v>-74223.417366000009</v>
      </c>
      <c r="AQ73" s="98">
        <v>-74223.417366000009</v>
      </c>
      <c r="AR73" s="99">
        <v>-289473.35812200001</v>
      </c>
      <c r="AS73" s="100">
        <v>-986443</v>
      </c>
      <c r="AT73" s="101">
        <v>-222362</v>
      </c>
      <c r="AU73" s="102">
        <v>-764081</v>
      </c>
      <c r="AV73" s="103">
        <v>22149259</v>
      </c>
      <c r="AW73" s="104">
        <v>19255999</v>
      </c>
      <c r="AX73" s="104">
        <v>18399130</v>
      </c>
      <c r="AY73" s="105">
        <v>23344577</v>
      </c>
      <c r="AZ73" s="103">
        <v>4852438</v>
      </c>
      <c r="BA73" s="104">
        <v>4218585</v>
      </c>
      <c r="BB73" s="104">
        <v>4030863</v>
      </c>
      <c r="BC73" s="105">
        <v>5114307</v>
      </c>
      <c r="BD73" s="103">
        <v>17296821</v>
      </c>
      <c r="BE73" s="104">
        <v>15037414</v>
      </c>
      <c r="BF73" s="104">
        <v>14368267</v>
      </c>
      <c r="BG73" s="105">
        <v>18230270</v>
      </c>
      <c r="BH73" s="64">
        <f t="shared" si="4"/>
        <v>9836.5935760000721</v>
      </c>
      <c r="BI73" s="106">
        <f t="shared" si="5"/>
        <v>35063.406424000859</v>
      </c>
    </row>
    <row r="74" spans="2:61">
      <c r="B74" s="89" t="s">
        <v>313</v>
      </c>
      <c r="C74" s="90">
        <f>'[1]LEA - Summary GASB75'!H74</f>
        <v>9029160</v>
      </c>
      <c r="D74" s="91">
        <f t="shared" si="3"/>
        <v>1895067.1882799999</v>
      </c>
      <c r="E74" s="92">
        <v>8966804</v>
      </c>
      <c r="F74" s="93">
        <v>1881978</v>
      </c>
      <c r="G74" s="94">
        <v>0.20988299999999999</v>
      </c>
      <c r="H74" s="94">
        <v>0.79011699999999996</v>
      </c>
      <c r="I74" s="100">
        <v>8966804</v>
      </c>
      <c r="J74" s="101">
        <v>1881980</v>
      </c>
      <c r="K74" s="102">
        <v>7084824</v>
      </c>
      <c r="L74" s="100">
        <v>715391</v>
      </c>
      <c r="M74" s="101">
        <v>150148</v>
      </c>
      <c r="N74" s="101">
        <v>565243</v>
      </c>
      <c r="O74" s="100">
        <v>0</v>
      </c>
      <c r="P74" s="101">
        <v>0</v>
      </c>
      <c r="Q74" s="101">
        <v>0</v>
      </c>
      <c r="R74" s="100">
        <v>0</v>
      </c>
      <c r="S74" s="101">
        <v>0</v>
      </c>
      <c r="T74" s="101">
        <v>0</v>
      </c>
      <c r="U74" s="100">
        <v>0</v>
      </c>
      <c r="V74" s="101">
        <v>0</v>
      </c>
      <c r="W74" s="101">
        <v>0</v>
      </c>
      <c r="X74" s="100">
        <v>390075</v>
      </c>
      <c r="Y74" s="101">
        <v>81870</v>
      </c>
      <c r="Z74" s="101">
        <v>308205</v>
      </c>
      <c r="AA74" s="107">
        <v>-47570</v>
      </c>
      <c r="AB74" s="98">
        <v>-47570</v>
      </c>
      <c r="AC74" s="98">
        <v>-47570</v>
      </c>
      <c r="AD74" s="98">
        <v>-47570</v>
      </c>
      <c r="AE74" s="98">
        <v>-47570</v>
      </c>
      <c r="AF74" s="99">
        <v>-152225</v>
      </c>
      <c r="AG74" s="107">
        <v>-9984.1343099999995</v>
      </c>
      <c r="AH74" s="98">
        <v>-9984.1343099999995</v>
      </c>
      <c r="AI74" s="98">
        <v>-9984.1343099999995</v>
      </c>
      <c r="AJ74" s="98">
        <v>-9984.1343099999995</v>
      </c>
      <c r="AK74" s="98">
        <v>-9984.1343099999995</v>
      </c>
      <c r="AL74" s="99">
        <v>-31949.439674999998</v>
      </c>
      <c r="AM74" s="107">
        <v>-37585.865689999999</v>
      </c>
      <c r="AN74" s="98">
        <v>-37585.865689999999</v>
      </c>
      <c r="AO74" s="98">
        <v>-37585.865689999999</v>
      </c>
      <c r="AP74" s="98">
        <v>-37585.865689999999</v>
      </c>
      <c r="AQ74" s="98">
        <v>-37585.865689999999</v>
      </c>
      <c r="AR74" s="99">
        <v>-120275.560325</v>
      </c>
      <c r="AS74" s="100">
        <v>-404142</v>
      </c>
      <c r="AT74" s="101">
        <v>-93046</v>
      </c>
      <c r="AU74" s="102">
        <v>-311096</v>
      </c>
      <c r="AV74" s="103">
        <v>9657347</v>
      </c>
      <c r="AW74" s="104">
        <v>8313263</v>
      </c>
      <c r="AX74" s="104">
        <v>7924880</v>
      </c>
      <c r="AY74" s="105">
        <v>10194719</v>
      </c>
      <c r="AZ74" s="103">
        <v>2026913</v>
      </c>
      <c r="BA74" s="104">
        <v>1744813</v>
      </c>
      <c r="BB74" s="104">
        <v>1663298</v>
      </c>
      <c r="BC74" s="105">
        <v>2139698</v>
      </c>
      <c r="BD74" s="103">
        <v>7630434</v>
      </c>
      <c r="BE74" s="104">
        <v>6568450</v>
      </c>
      <c r="BF74" s="104">
        <v>6261582</v>
      </c>
      <c r="BG74" s="105">
        <v>8055021</v>
      </c>
      <c r="BH74" s="64">
        <f t="shared" si="4"/>
        <v>-13089.188279999886</v>
      </c>
      <c r="BI74" s="106">
        <f t="shared" si="5"/>
        <v>-49266.81172000058</v>
      </c>
    </row>
    <row r="75" spans="2:61">
      <c r="B75" s="89" t="s">
        <v>314</v>
      </c>
      <c r="C75" s="90">
        <f>'[1]LEA - Summary GASB75'!H75</f>
        <v>0</v>
      </c>
      <c r="D75" s="91">
        <f t="shared" si="3"/>
        <v>0</v>
      </c>
      <c r="E75" s="92">
        <v>0</v>
      </c>
      <c r="F75" s="93">
        <v>0</v>
      </c>
      <c r="G75" s="94">
        <v>0</v>
      </c>
      <c r="H75" s="94">
        <v>1</v>
      </c>
      <c r="I75" s="100">
        <v>0</v>
      </c>
      <c r="J75" s="101">
        <v>0</v>
      </c>
      <c r="K75" s="102">
        <v>0</v>
      </c>
      <c r="L75" s="100">
        <v>0</v>
      </c>
      <c r="M75" s="101">
        <v>0</v>
      </c>
      <c r="N75" s="101">
        <v>0</v>
      </c>
      <c r="O75" s="100">
        <v>0</v>
      </c>
      <c r="P75" s="101">
        <v>0</v>
      </c>
      <c r="Q75" s="101">
        <v>0</v>
      </c>
      <c r="R75" s="100">
        <v>0</v>
      </c>
      <c r="S75" s="101">
        <v>0</v>
      </c>
      <c r="T75" s="101">
        <v>0</v>
      </c>
      <c r="U75" s="100">
        <v>0</v>
      </c>
      <c r="V75" s="101">
        <v>0</v>
      </c>
      <c r="W75" s="101">
        <v>0</v>
      </c>
      <c r="X75" s="100">
        <v>0</v>
      </c>
      <c r="Y75" s="101">
        <v>0</v>
      </c>
      <c r="Z75" s="101">
        <v>0</v>
      </c>
      <c r="AA75" s="107">
        <v>0</v>
      </c>
      <c r="AB75" s="98">
        <v>0</v>
      </c>
      <c r="AC75" s="98">
        <v>0</v>
      </c>
      <c r="AD75" s="98">
        <v>0</v>
      </c>
      <c r="AE75" s="98">
        <v>0</v>
      </c>
      <c r="AF75" s="99">
        <v>0</v>
      </c>
      <c r="AG75" s="107">
        <v>0</v>
      </c>
      <c r="AH75" s="98">
        <v>0</v>
      </c>
      <c r="AI75" s="98">
        <v>0</v>
      </c>
      <c r="AJ75" s="98">
        <v>0</v>
      </c>
      <c r="AK75" s="98">
        <v>0</v>
      </c>
      <c r="AL75" s="99">
        <v>0</v>
      </c>
      <c r="AM75" s="107">
        <v>0</v>
      </c>
      <c r="AN75" s="98">
        <v>0</v>
      </c>
      <c r="AO75" s="98">
        <v>0</v>
      </c>
      <c r="AP75" s="98">
        <v>0</v>
      </c>
      <c r="AQ75" s="98">
        <v>0</v>
      </c>
      <c r="AR75" s="99">
        <v>0</v>
      </c>
      <c r="AS75" s="100">
        <v>0</v>
      </c>
      <c r="AT75" s="101">
        <v>0</v>
      </c>
      <c r="AU75" s="102">
        <v>0</v>
      </c>
      <c r="AV75" s="103">
        <v>0</v>
      </c>
      <c r="AW75" s="104">
        <v>0</v>
      </c>
      <c r="AX75" s="104">
        <v>0</v>
      </c>
      <c r="AY75" s="105">
        <v>0</v>
      </c>
      <c r="AZ75" s="103">
        <v>0</v>
      </c>
      <c r="BA75" s="104">
        <v>0</v>
      </c>
      <c r="BB75" s="104">
        <v>0</v>
      </c>
      <c r="BC75" s="105">
        <v>0</v>
      </c>
      <c r="BD75" s="103">
        <v>0</v>
      </c>
      <c r="BE75" s="104">
        <v>0</v>
      </c>
      <c r="BF75" s="104">
        <v>0</v>
      </c>
      <c r="BG75" s="105">
        <v>0</v>
      </c>
      <c r="BH75" s="64">
        <f t="shared" si="4"/>
        <v>0</v>
      </c>
      <c r="BI75" s="106">
        <f t="shared" si="5"/>
        <v>0</v>
      </c>
    </row>
    <row r="76" spans="2:61">
      <c r="B76" s="89" t="s">
        <v>315</v>
      </c>
      <c r="C76" s="90">
        <f>'[1]LEA - Summary GASB75'!H76</f>
        <v>19874708</v>
      </c>
      <c r="D76" s="91">
        <f t="shared" si="3"/>
        <v>3601157.9666439998</v>
      </c>
      <c r="E76" s="92">
        <v>19866282</v>
      </c>
      <c r="F76" s="93">
        <v>3599641</v>
      </c>
      <c r="G76" s="94">
        <v>0.18119299999999999</v>
      </c>
      <c r="H76" s="94">
        <v>0.81880700000000006</v>
      </c>
      <c r="I76" s="100">
        <v>19866282</v>
      </c>
      <c r="J76" s="101">
        <v>3599631</v>
      </c>
      <c r="K76" s="102">
        <v>16266651</v>
      </c>
      <c r="L76" s="100">
        <v>1757282</v>
      </c>
      <c r="M76" s="101">
        <v>318407</v>
      </c>
      <c r="N76" s="101">
        <v>1438875</v>
      </c>
      <c r="O76" s="100">
        <v>0</v>
      </c>
      <c r="P76" s="101">
        <v>0</v>
      </c>
      <c r="Q76" s="101">
        <v>0</v>
      </c>
      <c r="R76" s="100">
        <v>0</v>
      </c>
      <c r="S76" s="101">
        <v>0</v>
      </c>
      <c r="T76" s="101">
        <v>0</v>
      </c>
      <c r="U76" s="100">
        <v>0</v>
      </c>
      <c r="V76" s="101">
        <v>0</v>
      </c>
      <c r="W76" s="101">
        <v>0</v>
      </c>
      <c r="X76" s="100">
        <v>770765</v>
      </c>
      <c r="Y76" s="101">
        <v>139657</v>
      </c>
      <c r="Z76" s="101">
        <v>631108</v>
      </c>
      <c r="AA76" s="107">
        <v>-87587</v>
      </c>
      <c r="AB76" s="98">
        <v>-87587</v>
      </c>
      <c r="AC76" s="98">
        <v>-87587</v>
      </c>
      <c r="AD76" s="98">
        <v>-87587</v>
      </c>
      <c r="AE76" s="98">
        <v>-87587</v>
      </c>
      <c r="AF76" s="99">
        <v>-332830</v>
      </c>
      <c r="AG76" s="107">
        <v>-15870.151291</v>
      </c>
      <c r="AH76" s="98">
        <v>-15870.151291</v>
      </c>
      <c r="AI76" s="98">
        <v>-15870.151291</v>
      </c>
      <c r="AJ76" s="98">
        <v>-15870.151291</v>
      </c>
      <c r="AK76" s="98">
        <v>-15870.151291</v>
      </c>
      <c r="AL76" s="99">
        <v>-60306.466189999999</v>
      </c>
      <c r="AM76" s="107">
        <v>-71716.848708999998</v>
      </c>
      <c r="AN76" s="98">
        <v>-71716.848708999998</v>
      </c>
      <c r="AO76" s="98">
        <v>-71716.848708999998</v>
      </c>
      <c r="AP76" s="98">
        <v>-71716.848708999998</v>
      </c>
      <c r="AQ76" s="98">
        <v>-71716.848708999998</v>
      </c>
      <c r="AR76" s="99">
        <v>-272523.53380999999</v>
      </c>
      <c r="AS76" s="100">
        <v>-1102686</v>
      </c>
      <c r="AT76" s="101">
        <v>-217008</v>
      </c>
      <c r="AU76" s="102">
        <v>-885678</v>
      </c>
      <c r="AV76" s="103">
        <v>21217520</v>
      </c>
      <c r="AW76" s="104">
        <v>18576718</v>
      </c>
      <c r="AX76" s="104">
        <v>17765276</v>
      </c>
      <c r="AY76" s="105">
        <v>22345217</v>
      </c>
      <c r="AZ76" s="103">
        <v>3844466</v>
      </c>
      <c r="BA76" s="104">
        <v>3365971</v>
      </c>
      <c r="BB76" s="104">
        <v>3218944</v>
      </c>
      <c r="BC76" s="105">
        <v>4048797</v>
      </c>
      <c r="BD76" s="103">
        <v>17373054</v>
      </c>
      <c r="BE76" s="104">
        <v>15210747</v>
      </c>
      <c r="BF76" s="104">
        <v>14546332</v>
      </c>
      <c r="BG76" s="105">
        <v>18296420</v>
      </c>
      <c r="BH76" s="64">
        <f t="shared" si="4"/>
        <v>-1516.9666439997964</v>
      </c>
      <c r="BI76" s="106">
        <f t="shared" si="5"/>
        <v>-6909.033355999738</v>
      </c>
    </row>
    <row r="77" spans="2:61">
      <c r="B77" s="89" t="s">
        <v>316</v>
      </c>
      <c r="C77" s="90">
        <f>'[1]LEA - Summary GASB75'!H77</f>
        <v>0</v>
      </c>
      <c r="D77" s="91">
        <f t="shared" si="3"/>
        <v>0</v>
      </c>
      <c r="E77" s="92">
        <v>0</v>
      </c>
      <c r="F77" s="93">
        <v>0</v>
      </c>
      <c r="G77" s="94">
        <v>0</v>
      </c>
      <c r="H77" s="94">
        <v>1</v>
      </c>
      <c r="I77" s="100">
        <v>0</v>
      </c>
      <c r="J77" s="101">
        <v>0</v>
      </c>
      <c r="K77" s="102">
        <v>0</v>
      </c>
      <c r="L77" s="100">
        <v>0</v>
      </c>
      <c r="M77" s="101">
        <v>0</v>
      </c>
      <c r="N77" s="101">
        <v>0</v>
      </c>
      <c r="O77" s="100">
        <v>0</v>
      </c>
      <c r="P77" s="101">
        <v>0</v>
      </c>
      <c r="Q77" s="101">
        <v>0</v>
      </c>
      <c r="R77" s="100">
        <v>0</v>
      </c>
      <c r="S77" s="101">
        <v>0</v>
      </c>
      <c r="T77" s="101">
        <v>0</v>
      </c>
      <c r="U77" s="100">
        <v>0</v>
      </c>
      <c r="V77" s="101">
        <v>0</v>
      </c>
      <c r="W77" s="101">
        <v>0</v>
      </c>
      <c r="X77" s="100">
        <v>0</v>
      </c>
      <c r="Y77" s="101">
        <v>0</v>
      </c>
      <c r="Z77" s="101">
        <v>0</v>
      </c>
      <c r="AA77" s="107">
        <v>0</v>
      </c>
      <c r="AB77" s="98">
        <v>0</v>
      </c>
      <c r="AC77" s="98">
        <v>0</v>
      </c>
      <c r="AD77" s="98">
        <v>0</v>
      </c>
      <c r="AE77" s="98">
        <v>0</v>
      </c>
      <c r="AF77" s="99">
        <v>0</v>
      </c>
      <c r="AG77" s="107">
        <v>0</v>
      </c>
      <c r="AH77" s="98">
        <v>0</v>
      </c>
      <c r="AI77" s="98">
        <v>0</v>
      </c>
      <c r="AJ77" s="98">
        <v>0</v>
      </c>
      <c r="AK77" s="98">
        <v>0</v>
      </c>
      <c r="AL77" s="99">
        <v>0</v>
      </c>
      <c r="AM77" s="107">
        <v>0</v>
      </c>
      <c r="AN77" s="98">
        <v>0</v>
      </c>
      <c r="AO77" s="98">
        <v>0</v>
      </c>
      <c r="AP77" s="98">
        <v>0</v>
      </c>
      <c r="AQ77" s="98">
        <v>0</v>
      </c>
      <c r="AR77" s="99">
        <v>0</v>
      </c>
      <c r="AS77" s="100">
        <v>0</v>
      </c>
      <c r="AT77" s="101">
        <v>0</v>
      </c>
      <c r="AU77" s="102">
        <v>0</v>
      </c>
      <c r="AV77" s="103">
        <v>0</v>
      </c>
      <c r="AW77" s="104">
        <v>0</v>
      </c>
      <c r="AX77" s="104">
        <v>0</v>
      </c>
      <c r="AY77" s="105">
        <v>0</v>
      </c>
      <c r="AZ77" s="103">
        <v>0</v>
      </c>
      <c r="BA77" s="104">
        <v>0</v>
      </c>
      <c r="BB77" s="104">
        <v>0</v>
      </c>
      <c r="BC77" s="105">
        <v>0</v>
      </c>
      <c r="BD77" s="103">
        <v>0</v>
      </c>
      <c r="BE77" s="104">
        <v>0</v>
      </c>
      <c r="BF77" s="104">
        <v>0</v>
      </c>
      <c r="BG77" s="105">
        <v>0</v>
      </c>
      <c r="BH77" s="64">
        <f t="shared" si="4"/>
        <v>0</v>
      </c>
      <c r="BI77" s="106">
        <f t="shared" si="5"/>
        <v>0</v>
      </c>
    </row>
    <row r="78" spans="2:61">
      <c r="B78" s="89" t="s">
        <v>317</v>
      </c>
      <c r="C78" s="90">
        <f>'[1]LEA - Summary GASB75'!H78</f>
        <v>51052124</v>
      </c>
      <c r="D78" s="91">
        <f t="shared" si="3"/>
        <v>17604610.231663998</v>
      </c>
      <c r="E78" s="92">
        <v>50307674</v>
      </c>
      <c r="F78" s="93">
        <v>17347907</v>
      </c>
      <c r="G78" s="94">
        <v>0.34483599999999998</v>
      </c>
      <c r="H78" s="94">
        <v>0.65516400000000008</v>
      </c>
      <c r="I78" s="100">
        <v>50307674</v>
      </c>
      <c r="J78" s="101">
        <v>17347897</v>
      </c>
      <c r="K78" s="102">
        <v>32959777</v>
      </c>
      <c r="L78" s="100">
        <v>4492716</v>
      </c>
      <c r="M78" s="101">
        <v>1549250</v>
      </c>
      <c r="N78" s="101">
        <v>2943466</v>
      </c>
      <c r="O78" s="100">
        <v>0</v>
      </c>
      <c r="P78" s="101">
        <v>0</v>
      </c>
      <c r="Q78" s="101">
        <v>0</v>
      </c>
      <c r="R78" s="100">
        <v>0</v>
      </c>
      <c r="S78" s="101">
        <v>0</v>
      </c>
      <c r="T78" s="101">
        <v>0</v>
      </c>
      <c r="U78" s="100">
        <v>0</v>
      </c>
      <c r="V78" s="101">
        <v>0</v>
      </c>
      <c r="W78" s="101">
        <v>0</v>
      </c>
      <c r="X78" s="100">
        <v>2158276</v>
      </c>
      <c r="Y78" s="101">
        <v>744251</v>
      </c>
      <c r="Z78" s="101">
        <v>1414025</v>
      </c>
      <c r="AA78" s="107">
        <v>-218008</v>
      </c>
      <c r="AB78" s="98">
        <v>-218008</v>
      </c>
      <c r="AC78" s="98">
        <v>-218008</v>
      </c>
      <c r="AD78" s="98">
        <v>-218008</v>
      </c>
      <c r="AE78" s="98">
        <v>-218008</v>
      </c>
      <c r="AF78" s="99">
        <v>-1068236</v>
      </c>
      <c r="AG78" s="107">
        <v>-75177.006687999994</v>
      </c>
      <c r="AH78" s="98">
        <v>-75177.006687999994</v>
      </c>
      <c r="AI78" s="98">
        <v>-75177.006687999994</v>
      </c>
      <c r="AJ78" s="98">
        <v>-75177.006687999994</v>
      </c>
      <c r="AK78" s="98">
        <v>-75177.006687999994</v>
      </c>
      <c r="AL78" s="99">
        <v>-368366.22929599998</v>
      </c>
      <c r="AM78" s="107">
        <v>-142830.99331200001</v>
      </c>
      <c r="AN78" s="98">
        <v>-142830.99331200001</v>
      </c>
      <c r="AO78" s="98">
        <v>-142830.99331200001</v>
      </c>
      <c r="AP78" s="98">
        <v>-142830.99331200001</v>
      </c>
      <c r="AQ78" s="98">
        <v>-142830.99331200001</v>
      </c>
      <c r="AR78" s="99">
        <v>-699869.77070400002</v>
      </c>
      <c r="AS78" s="100">
        <v>-3276865</v>
      </c>
      <c r="AT78" s="101">
        <v>-1195561</v>
      </c>
      <c r="AU78" s="102">
        <v>-2081304</v>
      </c>
      <c r="AV78" s="103">
        <v>54054693</v>
      </c>
      <c r="AW78" s="104">
        <v>46776909</v>
      </c>
      <c r="AX78" s="104">
        <v>44653241</v>
      </c>
      <c r="AY78" s="105">
        <v>57075753</v>
      </c>
      <c r="AZ78" s="103">
        <v>18640004</v>
      </c>
      <c r="BA78" s="104">
        <v>16130362</v>
      </c>
      <c r="BB78" s="104">
        <v>15398045</v>
      </c>
      <c r="BC78" s="105">
        <v>19681774</v>
      </c>
      <c r="BD78" s="103">
        <v>35414689</v>
      </c>
      <c r="BE78" s="104">
        <v>30646547</v>
      </c>
      <c r="BF78" s="104">
        <v>29255196</v>
      </c>
      <c r="BG78" s="105">
        <v>37393979</v>
      </c>
      <c r="BH78" s="64">
        <f t="shared" si="4"/>
        <v>-256703.23166399822</v>
      </c>
      <c r="BI78" s="106">
        <f t="shared" si="5"/>
        <v>-487746.76833600178</v>
      </c>
    </row>
    <row r="79" spans="2:61">
      <c r="B79" s="89" t="s">
        <v>318</v>
      </c>
      <c r="C79" s="90">
        <f>'[1]LEA - Summary GASB75'!H79</f>
        <v>1815326</v>
      </c>
      <c r="D79" s="91">
        <f t="shared" si="3"/>
        <v>468987.65677399997</v>
      </c>
      <c r="E79" s="92">
        <v>1852509</v>
      </c>
      <c r="F79" s="93">
        <v>478594</v>
      </c>
      <c r="G79" s="94">
        <v>0.258349</v>
      </c>
      <c r="H79" s="94">
        <v>0.74165100000000006</v>
      </c>
      <c r="I79" s="100">
        <v>1852509</v>
      </c>
      <c r="J79" s="101">
        <v>478594</v>
      </c>
      <c r="K79" s="102">
        <v>1373915</v>
      </c>
      <c r="L79" s="100">
        <v>176667</v>
      </c>
      <c r="M79" s="101">
        <v>45642</v>
      </c>
      <c r="N79" s="101">
        <v>131025</v>
      </c>
      <c r="O79" s="100">
        <v>0</v>
      </c>
      <c r="P79" s="101">
        <v>0</v>
      </c>
      <c r="Q79" s="101">
        <v>0</v>
      </c>
      <c r="R79" s="100">
        <v>0</v>
      </c>
      <c r="S79" s="101">
        <v>0</v>
      </c>
      <c r="T79" s="101">
        <v>0</v>
      </c>
      <c r="U79" s="100">
        <v>0</v>
      </c>
      <c r="V79" s="101">
        <v>0</v>
      </c>
      <c r="W79" s="101">
        <v>0</v>
      </c>
      <c r="X79" s="100">
        <v>79258</v>
      </c>
      <c r="Y79" s="101">
        <v>20476</v>
      </c>
      <c r="Z79" s="101">
        <v>58782</v>
      </c>
      <c r="AA79" s="107">
        <v>-8088</v>
      </c>
      <c r="AB79" s="98">
        <v>-8088</v>
      </c>
      <c r="AC79" s="98">
        <v>-8088</v>
      </c>
      <c r="AD79" s="98">
        <v>-8088</v>
      </c>
      <c r="AE79" s="98">
        <v>-8088</v>
      </c>
      <c r="AF79" s="99">
        <v>-38818</v>
      </c>
      <c r="AG79" s="107">
        <v>-2089.5267119999999</v>
      </c>
      <c r="AH79" s="98">
        <v>-2089.5267119999999</v>
      </c>
      <c r="AI79" s="98">
        <v>-2089.5267119999999</v>
      </c>
      <c r="AJ79" s="98">
        <v>-2089.5267119999999</v>
      </c>
      <c r="AK79" s="98">
        <v>-2089.5267119999999</v>
      </c>
      <c r="AL79" s="99">
        <v>-10028.591482</v>
      </c>
      <c r="AM79" s="107">
        <v>-5998.4732880000001</v>
      </c>
      <c r="AN79" s="98">
        <v>-5998.4732880000001</v>
      </c>
      <c r="AO79" s="98">
        <v>-5998.4732880000001</v>
      </c>
      <c r="AP79" s="98">
        <v>-5998.4732880000001</v>
      </c>
      <c r="AQ79" s="98">
        <v>-5998.4732880000001</v>
      </c>
      <c r="AR79" s="99">
        <v>-28789.408518</v>
      </c>
      <c r="AS79" s="100">
        <v>-75902</v>
      </c>
      <c r="AT79" s="101">
        <v>-22656</v>
      </c>
      <c r="AU79" s="102">
        <v>-53246</v>
      </c>
      <c r="AV79" s="103">
        <v>1990114</v>
      </c>
      <c r="AW79" s="104">
        <v>1722291</v>
      </c>
      <c r="AX79" s="104">
        <v>1637332</v>
      </c>
      <c r="AY79" s="105">
        <v>2110594</v>
      </c>
      <c r="AZ79" s="103">
        <v>514144</v>
      </c>
      <c r="BA79" s="104">
        <v>444952</v>
      </c>
      <c r="BB79" s="104">
        <v>423003</v>
      </c>
      <c r="BC79" s="105">
        <v>545270</v>
      </c>
      <c r="BD79" s="103">
        <v>1475970</v>
      </c>
      <c r="BE79" s="104">
        <v>1277339</v>
      </c>
      <c r="BF79" s="104">
        <v>1214329</v>
      </c>
      <c r="BG79" s="105">
        <v>1565324</v>
      </c>
      <c r="BH79" s="64">
        <f t="shared" si="4"/>
        <v>9606.3432260000263</v>
      </c>
      <c r="BI79" s="106">
        <f t="shared" si="5"/>
        <v>27576.656774000032</v>
      </c>
    </row>
    <row r="80" spans="2:61">
      <c r="B80" s="89" t="s">
        <v>319</v>
      </c>
      <c r="C80" s="90">
        <f>'[1]LEA - Summary GASB75'!H80</f>
        <v>6320328</v>
      </c>
      <c r="D80" s="91">
        <f t="shared" si="3"/>
        <v>1905888.5880720001</v>
      </c>
      <c r="E80" s="92">
        <v>6437670</v>
      </c>
      <c r="F80" s="93">
        <v>1941275</v>
      </c>
      <c r="G80" s="94">
        <v>0.30154900000000001</v>
      </c>
      <c r="H80" s="94">
        <v>0.69845099999999993</v>
      </c>
      <c r="I80" s="100">
        <v>6437670</v>
      </c>
      <c r="J80" s="101">
        <v>1941273</v>
      </c>
      <c r="K80" s="102">
        <v>4496397</v>
      </c>
      <c r="L80" s="100">
        <v>594341</v>
      </c>
      <c r="M80" s="101">
        <v>179223</v>
      </c>
      <c r="N80" s="101">
        <v>415118</v>
      </c>
      <c r="O80" s="100">
        <v>0</v>
      </c>
      <c r="P80" s="101">
        <v>0</v>
      </c>
      <c r="Q80" s="101">
        <v>0</v>
      </c>
      <c r="R80" s="100">
        <v>0</v>
      </c>
      <c r="S80" s="101">
        <v>0</v>
      </c>
      <c r="T80" s="101">
        <v>0</v>
      </c>
      <c r="U80" s="100">
        <v>0</v>
      </c>
      <c r="V80" s="101">
        <v>0</v>
      </c>
      <c r="W80" s="101">
        <v>0</v>
      </c>
      <c r="X80" s="100">
        <v>270072</v>
      </c>
      <c r="Y80" s="101">
        <v>81440</v>
      </c>
      <c r="Z80" s="101">
        <v>188632</v>
      </c>
      <c r="AA80" s="107">
        <v>-30008</v>
      </c>
      <c r="AB80" s="98">
        <v>-30008</v>
      </c>
      <c r="AC80" s="98">
        <v>-30008</v>
      </c>
      <c r="AD80" s="98">
        <v>-30008</v>
      </c>
      <c r="AE80" s="98">
        <v>-30008</v>
      </c>
      <c r="AF80" s="99">
        <v>-120032</v>
      </c>
      <c r="AG80" s="107">
        <v>-9048.8823919999995</v>
      </c>
      <c r="AH80" s="98">
        <v>-9048.8823919999995</v>
      </c>
      <c r="AI80" s="98">
        <v>-9048.8823919999995</v>
      </c>
      <c r="AJ80" s="98">
        <v>-9048.8823919999995</v>
      </c>
      <c r="AK80" s="98">
        <v>-9048.8823919999995</v>
      </c>
      <c r="AL80" s="99">
        <v>-36195.529567999998</v>
      </c>
      <c r="AM80" s="107">
        <v>-20959.117608</v>
      </c>
      <c r="AN80" s="98">
        <v>-20959.117608</v>
      </c>
      <c r="AO80" s="98">
        <v>-20959.117608</v>
      </c>
      <c r="AP80" s="98">
        <v>-20959.117608</v>
      </c>
      <c r="AQ80" s="98">
        <v>-20959.117608</v>
      </c>
      <c r="AR80" s="99">
        <v>-83836.470432000002</v>
      </c>
      <c r="AS80" s="100">
        <v>-250661</v>
      </c>
      <c r="AT80" s="101">
        <v>-80624</v>
      </c>
      <c r="AU80" s="102">
        <v>-170037</v>
      </c>
      <c r="AV80" s="103">
        <v>6909718</v>
      </c>
      <c r="AW80" s="104">
        <v>5984516</v>
      </c>
      <c r="AX80" s="104">
        <v>5678769</v>
      </c>
      <c r="AY80" s="105">
        <v>7338954</v>
      </c>
      <c r="AZ80" s="103">
        <v>2083619</v>
      </c>
      <c r="BA80" s="104">
        <v>1804625</v>
      </c>
      <c r="BB80" s="104">
        <v>1712427</v>
      </c>
      <c r="BC80" s="105">
        <v>2213054</v>
      </c>
      <c r="BD80" s="103">
        <v>4826099</v>
      </c>
      <c r="BE80" s="104">
        <v>4179891</v>
      </c>
      <c r="BF80" s="104">
        <v>3966342</v>
      </c>
      <c r="BG80" s="105">
        <v>5125900</v>
      </c>
      <c r="BH80" s="64">
        <f t="shared" si="4"/>
        <v>35386.411927999929</v>
      </c>
      <c r="BI80" s="106">
        <f t="shared" si="5"/>
        <v>81955.588072000071</v>
      </c>
    </row>
    <row r="81" spans="2:61">
      <c r="B81" s="89" t="s">
        <v>320</v>
      </c>
      <c r="C81" s="90">
        <f>'[1]LEA - Summary GASB75'!H81</f>
        <v>23212341</v>
      </c>
      <c r="D81" s="91">
        <f t="shared" si="3"/>
        <v>4906949.6133540003</v>
      </c>
      <c r="E81" s="92">
        <v>23687720</v>
      </c>
      <c r="F81" s="93">
        <v>5007439</v>
      </c>
      <c r="G81" s="94">
        <v>0.211394</v>
      </c>
      <c r="H81" s="94">
        <v>0.78860600000000003</v>
      </c>
      <c r="I81" s="100">
        <v>23687720</v>
      </c>
      <c r="J81" s="101">
        <v>5007442</v>
      </c>
      <c r="K81" s="102">
        <v>18680278</v>
      </c>
      <c r="L81" s="100">
        <v>2212274</v>
      </c>
      <c r="M81" s="101">
        <v>467661</v>
      </c>
      <c r="N81" s="101">
        <v>1744613</v>
      </c>
      <c r="O81" s="100">
        <v>0</v>
      </c>
      <c r="P81" s="101">
        <v>0</v>
      </c>
      <c r="Q81" s="101">
        <v>0</v>
      </c>
      <c r="R81" s="100">
        <v>0</v>
      </c>
      <c r="S81" s="101">
        <v>0</v>
      </c>
      <c r="T81" s="101">
        <v>0</v>
      </c>
      <c r="U81" s="100">
        <v>0</v>
      </c>
      <c r="V81" s="101">
        <v>0</v>
      </c>
      <c r="W81" s="101">
        <v>0</v>
      </c>
      <c r="X81" s="100">
        <v>947556</v>
      </c>
      <c r="Y81" s="101">
        <v>200308</v>
      </c>
      <c r="Z81" s="101">
        <v>747248</v>
      </c>
      <c r="AA81" s="107">
        <v>-111477</v>
      </c>
      <c r="AB81" s="98">
        <v>-111477</v>
      </c>
      <c r="AC81" s="98">
        <v>-111477</v>
      </c>
      <c r="AD81" s="98">
        <v>-111477</v>
      </c>
      <c r="AE81" s="98">
        <v>-111477</v>
      </c>
      <c r="AF81" s="99">
        <v>-390171</v>
      </c>
      <c r="AG81" s="107">
        <v>-23565.568938</v>
      </c>
      <c r="AH81" s="98">
        <v>-23565.568938</v>
      </c>
      <c r="AI81" s="98">
        <v>-23565.568938</v>
      </c>
      <c r="AJ81" s="98">
        <v>-23565.568938</v>
      </c>
      <c r="AK81" s="98">
        <v>-23565.568938</v>
      </c>
      <c r="AL81" s="99">
        <v>-82479.808374</v>
      </c>
      <c r="AM81" s="107">
        <v>-87911.431062000003</v>
      </c>
      <c r="AN81" s="98">
        <v>-87911.431062000003</v>
      </c>
      <c r="AO81" s="98">
        <v>-87911.431062000003</v>
      </c>
      <c r="AP81" s="98">
        <v>-87911.431062000003</v>
      </c>
      <c r="AQ81" s="98">
        <v>-87911.431062000003</v>
      </c>
      <c r="AR81" s="99">
        <v>-307691.19162599999</v>
      </c>
      <c r="AS81" s="100">
        <v>-926251</v>
      </c>
      <c r="AT81" s="101">
        <v>-216632</v>
      </c>
      <c r="AU81" s="102">
        <v>-709619</v>
      </c>
      <c r="AV81" s="103">
        <v>25351496</v>
      </c>
      <c r="AW81" s="104">
        <v>22082310</v>
      </c>
      <c r="AX81" s="104">
        <v>20926219</v>
      </c>
      <c r="AY81" s="105">
        <v>26947211</v>
      </c>
      <c r="AZ81" s="103">
        <v>5359154</v>
      </c>
      <c r="BA81" s="104">
        <v>4668068</v>
      </c>
      <c r="BB81" s="104">
        <v>4423677</v>
      </c>
      <c r="BC81" s="105">
        <v>5696479</v>
      </c>
      <c r="BD81" s="103">
        <v>19992342</v>
      </c>
      <c r="BE81" s="104">
        <v>17414242</v>
      </c>
      <c r="BF81" s="104">
        <v>16502542</v>
      </c>
      <c r="BG81" s="105">
        <v>21250732</v>
      </c>
      <c r="BH81" s="64">
        <f t="shared" si="4"/>
        <v>100489.38664599974</v>
      </c>
      <c r="BI81" s="106">
        <f t="shared" si="5"/>
        <v>374889.61335400119</v>
      </c>
    </row>
    <row r="82" spans="2:61">
      <c r="B82" s="89" t="s">
        <v>321</v>
      </c>
      <c r="C82" s="90">
        <f>'[1]LEA - Summary GASB75'!H82</f>
        <v>0</v>
      </c>
      <c r="D82" s="91">
        <f t="shared" si="3"/>
        <v>0</v>
      </c>
      <c r="E82" s="92">
        <v>0</v>
      </c>
      <c r="F82" s="93">
        <v>0</v>
      </c>
      <c r="G82" s="94">
        <v>0</v>
      </c>
      <c r="H82" s="94">
        <v>1</v>
      </c>
      <c r="I82" s="100">
        <v>0</v>
      </c>
      <c r="J82" s="101">
        <v>0</v>
      </c>
      <c r="K82" s="102">
        <v>0</v>
      </c>
      <c r="L82" s="100">
        <v>0</v>
      </c>
      <c r="M82" s="101">
        <v>0</v>
      </c>
      <c r="N82" s="101">
        <v>0</v>
      </c>
      <c r="O82" s="100">
        <v>0</v>
      </c>
      <c r="P82" s="101">
        <v>0</v>
      </c>
      <c r="Q82" s="101">
        <v>0</v>
      </c>
      <c r="R82" s="100">
        <v>0</v>
      </c>
      <c r="S82" s="101">
        <v>0</v>
      </c>
      <c r="T82" s="101">
        <v>0</v>
      </c>
      <c r="U82" s="100">
        <v>0</v>
      </c>
      <c r="V82" s="101">
        <v>0</v>
      </c>
      <c r="W82" s="101">
        <v>0</v>
      </c>
      <c r="X82" s="100">
        <v>0</v>
      </c>
      <c r="Y82" s="101">
        <v>0</v>
      </c>
      <c r="Z82" s="101">
        <v>0</v>
      </c>
      <c r="AA82" s="107">
        <v>0</v>
      </c>
      <c r="AB82" s="98">
        <v>0</v>
      </c>
      <c r="AC82" s="98">
        <v>0</v>
      </c>
      <c r="AD82" s="98">
        <v>0</v>
      </c>
      <c r="AE82" s="98">
        <v>0</v>
      </c>
      <c r="AF82" s="99">
        <v>0</v>
      </c>
      <c r="AG82" s="107">
        <v>0</v>
      </c>
      <c r="AH82" s="98">
        <v>0</v>
      </c>
      <c r="AI82" s="98">
        <v>0</v>
      </c>
      <c r="AJ82" s="98">
        <v>0</v>
      </c>
      <c r="AK82" s="98">
        <v>0</v>
      </c>
      <c r="AL82" s="99">
        <v>0</v>
      </c>
      <c r="AM82" s="107">
        <v>0</v>
      </c>
      <c r="AN82" s="98">
        <v>0</v>
      </c>
      <c r="AO82" s="98">
        <v>0</v>
      </c>
      <c r="AP82" s="98">
        <v>0</v>
      </c>
      <c r="AQ82" s="98">
        <v>0</v>
      </c>
      <c r="AR82" s="99">
        <v>0</v>
      </c>
      <c r="AS82" s="100">
        <v>0</v>
      </c>
      <c r="AT82" s="101">
        <v>0</v>
      </c>
      <c r="AU82" s="102">
        <v>0</v>
      </c>
      <c r="AV82" s="103">
        <v>0</v>
      </c>
      <c r="AW82" s="104">
        <v>0</v>
      </c>
      <c r="AX82" s="104">
        <v>0</v>
      </c>
      <c r="AY82" s="105">
        <v>0</v>
      </c>
      <c r="AZ82" s="103">
        <v>0</v>
      </c>
      <c r="BA82" s="104">
        <v>0</v>
      </c>
      <c r="BB82" s="104">
        <v>0</v>
      </c>
      <c r="BC82" s="105">
        <v>0</v>
      </c>
      <c r="BD82" s="103">
        <v>0</v>
      </c>
      <c r="BE82" s="104">
        <v>0</v>
      </c>
      <c r="BF82" s="104">
        <v>0</v>
      </c>
      <c r="BG82" s="105">
        <v>0</v>
      </c>
      <c r="BH82" s="64">
        <f t="shared" si="4"/>
        <v>0</v>
      </c>
      <c r="BI82" s="106">
        <f t="shared" si="5"/>
        <v>0</v>
      </c>
    </row>
    <row r="83" spans="2:61">
      <c r="B83" s="89" t="s">
        <v>322</v>
      </c>
      <c r="C83" s="90">
        <f>'[1]LEA - Summary GASB75'!H83</f>
        <v>7252347</v>
      </c>
      <c r="D83" s="91">
        <f t="shared" si="3"/>
        <v>1854932.7921899999</v>
      </c>
      <c r="E83" s="92">
        <v>7283444</v>
      </c>
      <c r="F83" s="93">
        <v>1862885</v>
      </c>
      <c r="G83" s="94">
        <v>0.25577</v>
      </c>
      <c r="H83" s="94">
        <v>0.74422999999999995</v>
      </c>
      <c r="I83" s="100">
        <v>7283444</v>
      </c>
      <c r="J83" s="101">
        <v>1862886</v>
      </c>
      <c r="K83" s="102">
        <v>5420558</v>
      </c>
      <c r="L83" s="100">
        <v>599489</v>
      </c>
      <c r="M83" s="101">
        <v>153331</v>
      </c>
      <c r="N83" s="101">
        <v>446158</v>
      </c>
      <c r="O83" s="100">
        <v>0</v>
      </c>
      <c r="P83" s="101">
        <v>0</v>
      </c>
      <c r="Q83" s="101">
        <v>0</v>
      </c>
      <c r="R83" s="100">
        <v>0</v>
      </c>
      <c r="S83" s="101">
        <v>0</v>
      </c>
      <c r="T83" s="101">
        <v>0</v>
      </c>
      <c r="U83" s="100">
        <v>0</v>
      </c>
      <c r="V83" s="101">
        <v>0</v>
      </c>
      <c r="W83" s="101">
        <v>0</v>
      </c>
      <c r="X83" s="100">
        <v>341554</v>
      </c>
      <c r="Y83" s="101">
        <v>87359</v>
      </c>
      <c r="Z83" s="101">
        <v>254195</v>
      </c>
      <c r="AA83" s="107">
        <v>-34853</v>
      </c>
      <c r="AB83" s="98">
        <v>-34853</v>
      </c>
      <c r="AC83" s="98">
        <v>-34853</v>
      </c>
      <c r="AD83" s="98">
        <v>-34853</v>
      </c>
      <c r="AE83" s="98">
        <v>-34853</v>
      </c>
      <c r="AF83" s="99">
        <v>-167289</v>
      </c>
      <c r="AG83" s="107">
        <v>-8914.3518100000001</v>
      </c>
      <c r="AH83" s="98">
        <v>-8914.3518100000001</v>
      </c>
      <c r="AI83" s="98">
        <v>-8914.3518100000001</v>
      </c>
      <c r="AJ83" s="98">
        <v>-8914.3518100000001</v>
      </c>
      <c r="AK83" s="98">
        <v>-8914.3518100000001</v>
      </c>
      <c r="AL83" s="99">
        <v>-42787.507530000003</v>
      </c>
      <c r="AM83" s="107">
        <v>-25938.64819</v>
      </c>
      <c r="AN83" s="98">
        <v>-25938.64819</v>
      </c>
      <c r="AO83" s="98">
        <v>-25938.64819</v>
      </c>
      <c r="AP83" s="98">
        <v>-25938.64819</v>
      </c>
      <c r="AQ83" s="98">
        <v>-25938.64819</v>
      </c>
      <c r="AR83" s="99">
        <v>-124501.49247</v>
      </c>
      <c r="AS83" s="100">
        <v>-261631</v>
      </c>
      <c r="AT83" s="101">
        <v>-72004</v>
      </c>
      <c r="AU83" s="102">
        <v>-189627</v>
      </c>
      <c r="AV83" s="103">
        <v>7877258</v>
      </c>
      <c r="AW83" s="104">
        <v>6723478</v>
      </c>
      <c r="AX83" s="104">
        <v>6395372</v>
      </c>
      <c r="AY83" s="105">
        <v>8341327</v>
      </c>
      <c r="AZ83" s="103">
        <v>2014766</v>
      </c>
      <c r="BA83" s="104">
        <v>1719664</v>
      </c>
      <c r="BB83" s="104">
        <v>1635744</v>
      </c>
      <c r="BC83" s="105">
        <v>2133461</v>
      </c>
      <c r="BD83" s="103">
        <v>5862492</v>
      </c>
      <c r="BE83" s="104">
        <v>5003814</v>
      </c>
      <c r="BF83" s="104">
        <v>4759628</v>
      </c>
      <c r="BG83" s="105">
        <v>6207866</v>
      </c>
      <c r="BH83" s="64">
        <f t="shared" si="4"/>
        <v>7952.2078100000508</v>
      </c>
      <c r="BI83" s="106">
        <f t="shared" si="5"/>
        <v>23144.792190000415</v>
      </c>
    </row>
    <row r="84" spans="2:61">
      <c r="B84" s="89" t="s">
        <v>323</v>
      </c>
      <c r="C84" s="90">
        <f>'[1]LEA - Summary GASB75'!H84</f>
        <v>3086381</v>
      </c>
      <c r="D84" s="91">
        <f t="shared" si="3"/>
        <v>958006.48963800003</v>
      </c>
      <c r="E84" s="92">
        <v>3028375</v>
      </c>
      <c r="F84" s="93">
        <v>940003</v>
      </c>
      <c r="G84" s="94">
        <v>0.31039800000000001</v>
      </c>
      <c r="H84" s="94">
        <v>0.68960200000000005</v>
      </c>
      <c r="I84" s="100">
        <v>3028375</v>
      </c>
      <c r="J84" s="101">
        <v>940002</v>
      </c>
      <c r="K84" s="102">
        <v>2088373</v>
      </c>
      <c r="L84" s="100">
        <v>246535</v>
      </c>
      <c r="M84" s="101">
        <v>76524</v>
      </c>
      <c r="N84" s="101">
        <v>170011</v>
      </c>
      <c r="O84" s="100">
        <v>0</v>
      </c>
      <c r="P84" s="101">
        <v>0</v>
      </c>
      <c r="Q84" s="101">
        <v>0</v>
      </c>
      <c r="R84" s="100">
        <v>0</v>
      </c>
      <c r="S84" s="101">
        <v>0</v>
      </c>
      <c r="T84" s="101">
        <v>0</v>
      </c>
      <c r="U84" s="100">
        <v>0</v>
      </c>
      <c r="V84" s="101">
        <v>0</v>
      </c>
      <c r="W84" s="101">
        <v>0</v>
      </c>
      <c r="X84" s="100">
        <v>124171</v>
      </c>
      <c r="Y84" s="101">
        <v>38542</v>
      </c>
      <c r="Z84" s="101">
        <v>85629</v>
      </c>
      <c r="AA84" s="107">
        <v>-14438</v>
      </c>
      <c r="AB84" s="98">
        <v>-14438</v>
      </c>
      <c r="AC84" s="98">
        <v>-14438</v>
      </c>
      <c r="AD84" s="98">
        <v>-14438</v>
      </c>
      <c r="AE84" s="98">
        <v>-14438</v>
      </c>
      <c r="AF84" s="99">
        <v>-51981</v>
      </c>
      <c r="AG84" s="107">
        <v>-4481.5263240000004</v>
      </c>
      <c r="AH84" s="98">
        <v>-4481.5263240000004</v>
      </c>
      <c r="AI84" s="98">
        <v>-4481.5263240000004</v>
      </c>
      <c r="AJ84" s="98">
        <v>-4481.5263240000004</v>
      </c>
      <c r="AK84" s="98">
        <v>-4481.5263240000004</v>
      </c>
      <c r="AL84" s="99">
        <v>-16134.798438</v>
      </c>
      <c r="AM84" s="107">
        <v>-9956.4736759999996</v>
      </c>
      <c r="AN84" s="98">
        <v>-9956.4736759999996</v>
      </c>
      <c r="AO84" s="98">
        <v>-9956.4736759999996</v>
      </c>
      <c r="AP84" s="98">
        <v>-9956.4736759999996</v>
      </c>
      <c r="AQ84" s="98">
        <v>-9956.4736759999996</v>
      </c>
      <c r="AR84" s="99">
        <v>-35846.201562000002</v>
      </c>
      <c r="AS84" s="100">
        <v>-191873</v>
      </c>
      <c r="AT84" s="101">
        <v>-63809</v>
      </c>
      <c r="AU84" s="102">
        <v>-128064</v>
      </c>
      <c r="AV84" s="103">
        <v>3246585</v>
      </c>
      <c r="AW84" s="104">
        <v>2820577</v>
      </c>
      <c r="AX84" s="104">
        <v>2694534</v>
      </c>
      <c r="AY84" s="105">
        <v>3425394</v>
      </c>
      <c r="AZ84" s="103">
        <v>1007733</v>
      </c>
      <c r="BA84" s="104">
        <v>875501</v>
      </c>
      <c r="BB84" s="104">
        <v>836378</v>
      </c>
      <c r="BC84" s="105">
        <v>1063235</v>
      </c>
      <c r="BD84" s="103">
        <v>2238852</v>
      </c>
      <c r="BE84" s="104">
        <v>1945076</v>
      </c>
      <c r="BF84" s="104">
        <v>1858156</v>
      </c>
      <c r="BG84" s="105">
        <v>2362159</v>
      </c>
      <c r="BH84" s="64">
        <f t="shared" si="4"/>
        <v>-18003.489638000028</v>
      </c>
      <c r="BI84" s="106">
        <f t="shared" si="5"/>
        <v>-40002.510362000205</v>
      </c>
    </row>
    <row r="85" spans="2:61">
      <c r="B85" s="89" t="s">
        <v>324</v>
      </c>
      <c r="C85" s="90">
        <f>'[1]LEA - Summary GASB75'!H85</f>
        <v>1649536</v>
      </c>
      <c r="D85" s="91">
        <f t="shared" si="3"/>
        <v>585022.78822400002</v>
      </c>
      <c r="E85" s="92">
        <v>1658043</v>
      </c>
      <c r="F85" s="93">
        <v>588040</v>
      </c>
      <c r="G85" s="94">
        <v>0.354659</v>
      </c>
      <c r="H85" s="94">
        <v>0.64534099999999994</v>
      </c>
      <c r="I85" s="100">
        <v>1658043</v>
      </c>
      <c r="J85" s="101">
        <v>588040</v>
      </c>
      <c r="K85" s="102">
        <v>1070003</v>
      </c>
      <c r="L85" s="100">
        <v>138793</v>
      </c>
      <c r="M85" s="101">
        <v>49224</v>
      </c>
      <c r="N85" s="101">
        <v>89569</v>
      </c>
      <c r="O85" s="100">
        <v>0</v>
      </c>
      <c r="P85" s="101">
        <v>0</v>
      </c>
      <c r="Q85" s="101">
        <v>0</v>
      </c>
      <c r="R85" s="100">
        <v>0</v>
      </c>
      <c r="S85" s="101">
        <v>0</v>
      </c>
      <c r="T85" s="101">
        <v>0</v>
      </c>
      <c r="U85" s="100">
        <v>0</v>
      </c>
      <c r="V85" s="101">
        <v>0</v>
      </c>
      <c r="W85" s="101">
        <v>0</v>
      </c>
      <c r="X85" s="100">
        <v>69107</v>
      </c>
      <c r="Y85" s="101">
        <v>24509</v>
      </c>
      <c r="Z85" s="101">
        <v>44598</v>
      </c>
      <c r="AA85" s="107">
        <v>-7352</v>
      </c>
      <c r="AB85" s="98">
        <v>-7352</v>
      </c>
      <c r="AC85" s="98">
        <v>-7352</v>
      </c>
      <c r="AD85" s="98">
        <v>-7352</v>
      </c>
      <c r="AE85" s="98">
        <v>-7352</v>
      </c>
      <c r="AF85" s="99">
        <v>-32347</v>
      </c>
      <c r="AG85" s="107">
        <v>-2607.4529680000001</v>
      </c>
      <c r="AH85" s="98">
        <v>-2607.4529680000001</v>
      </c>
      <c r="AI85" s="98">
        <v>-2607.4529680000001</v>
      </c>
      <c r="AJ85" s="98">
        <v>-2607.4529680000001</v>
      </c>
      <c r="AK85" s="98">
        <v>-2607.4529680000001</v>
      </c>
      <c r="AL85" s="99">
        <v>-11472.154673000001</v>
      </c>
      <c r="AM85" s="107">
        <v>-4744.5470320000004</v>
      </c>
      <c r="AN85" s="98">
        <v>-4744.5470320000004</v>
      </c>
      <c r="AO85" s="98">
        <v>-4744.5470320000004</v>
      </c>
      <c r="AP85" s="98">
        <v>-4744.5470320000004</v>
      </c>
      <c r="AQ85" s="98">
        <v>-4744.5470320000004</v>
      </c>
      <c r="AR85" s="99">
        <v>-20874.845326999999</v>
      </c>
      <c r="AS85" s="100">
        <v>-71671</v>
      </c>
      <c r="AT85" s="101">
        <v>-26866</v>
      </c>
      <c r="AU85" s="102">
        <v>-44805</v>
      </c>
      <c r="AV85" s="103">
        <v>1777590</v>
      </c>
      <c r="AW85" s="104">
        <v>1543011</v>
      </c>
      <c r="AX85" s="104">
        <v>1468305</v>
      </c>
      <c r="AY85" s="105">
        <v>1881748</v>
      </c>
      <c r="AZ85" s="103">
        <v>630438</v>
      </c>
      <c r="BA85" s="104">
        <v>547243</v>
      </c>
      <c r="BB85" s="104">
        <v>520748</v>
      </c>
      <c r="BC85" s="105">
        <v>667379</v>
      </c>
      <c r="BD85" s="103">
        <v>1147152</v>
      </c>
      <c r="BE85" s="104">
        <v>995768</v>
      </c>
      <c r="BF85" s="104">
        <v>947557</v>
      </c>
      <c r="BG85" s="105">
        <v>1214369</v>
      </c>
      <c r="BH85" s="64">
        <f t="shared" si="4"/>
        <v>3017.2117759999819</v>
      </c>
      <c r="BI85" s="106">
        <f t="shared" si="5"/>
        <v>5489.7882240000181</v>
      </c>
    </row>
    <row r="86" spans="2:61">
      <c r="B86" s="89" t="s">
        <v>325</v>
      </c>
      <c r="C86" s="90">
        <f>'[1]LEA - Summary GASB75'!H86</f>
        <v>895561</v>
      </c>
      <c r="D86" s="91">
        <f t="shared" si="3"/>
        <v>315447.92883500003</v>
      </c>
      <c r="E86" s="92">
        <v>906000</v>
      </c>
      <c r="F86" s="93">
        <v>319125</v>
      </c>
      <c r="G86" s="94">
        <v>0.35223500000000002</v>
      </c>
      <c r="H86" s="94">
        <v>0.64776499999999992</v>
      </c>
      <c r="I86" s="100">
        <v>906000</v>
      </c>
      <c r="J86" s="101">
        <v>319125</v>
      </c>
      <c r="K86" s="102">
        <v>586875</v>
      </c>
      <c r="L86" s="100">
        <v>95010</v>
      </c>
      <c r="M86" s="101">
        <v>33466</v>
      </c>
      <c r="N86" s="101">
        <v>61544</v>
      </c>
      <c r="O86" s="100">
        <v>0</v>
      </c>
      <c r="P86" s="101">
        <v>0</v>
      </c>
      <c r="Q86" s="101">
        <v>0</v>
      </c>
      <c r="R86" s="100">
        <v>0</v>
      </c>
      <c r="S86" s="101">
        <v>0</v>
      </c>
      <c r="T86" s="101">
        <v>0</v>
      </c>
      <c r="U86" s="100">
        <v>0</v>
      </c>
      <c r="V86" s="101">
        <v>0</v>
      </c>
      <c r="W86" s="101">
        <v>0</v>
      </c>
      <c r="X86" s="100">
        <v>43820</v>
      </c>
      <c r="Y86" s="101">
        <v>15435</v>
      </c>
      <c r="Z86" s="101">
        <v>28385</v>
      </c>
      <c r="AA86" s="107">
        <v>-4662</v>
      </c>
      <c r="AB86" s="98">
        <v>-4662</v>
      </c>
      <c r="AC86" s="98">
        <v>-4662</v>
      </c>
      <c r="AD86" s="98">
        <v>-4662</v>
      </c>
      <c r="AE86" s="98">
        <v>-4662</v>
      </c>
      <c r="AF86" s="99">
        <v>-20510</v>
      </c>
      <c r="AG86" s="107">
        <v>-1642.1195700000001</v>
      </c>
      <c r="AH86" s="98">
        <v>-1642.1195700000001</v>
      </c>
      <c r="AI86" s="98">
        <v>-1642.1195700000001</v>
      </c>
      <c r="AJ86" s="98">
        <v>-1642.1195700000001</v>
      </c>
      <c r="AK86" s="98">
        <v>-1642.1195700000001</v>
      </c>
      <c r="AL86" s="99">
        <v>-7224.3398500000003</v>
      </c>
      <c r="AM86" s="107">
        <v>-3019.8804300000002</v>
      </c>
      <c r="AN86" s="98">
        <v>-3019.8804300000002</v>
      </c>
      <c r="AO86" s="98">
        <v>-3019.8804300000002</v>
      </c>
      <c r="AP86" s="98">
        <v>-3019.8804300000002</v>
      </c>
      <c r="AQ86" s="98">
        <v>-3019.8804300000002</v>
      </c>
      <c r="AR86" s="99">
        <v>-13285.66015</v>
      </c>
      <c r="AS86" s="100">
        <v>-44350</v>
      </c>
      <c r="AT86" s="101">
        <v>-16041</v>
      </c>
      <c r="AU86" s="102">
        <v>-28309</v>
      </c>
      <c r="AV86" s="103">
        <v>982042</v>
      </c>
      <c r="AW86" s="104">
        <v>834191</v>
      </c>
      <c r="AX86" s="104">
        <v>783278</v>
      </c>
      <c r="AY86" s="105">
        <v>1055481</v>
      </c>
      <c r="AZ86" s="103">
        <v>345910</v>
      </c>
      <c r="BA86" s="104">
        <v>293831</v>
      </c>
      <c r="BB86" s="104">
        <v>275898</v>
      </c>
      <c r="BC86" s="105">
        <v>371777</v>
      </c>
      <c r="BD86" s="103">
        <v>636132</v>
      </c>
      <c r="BE86" s="104">
        <v>540360</v>
      </c>
      <c r="BF86" s="104">
        <v>507380</v>
      </c>
      <c r="BG86" s="105">
        <v>683704</v>
      </c>
      <c r="BH86" s="64">
        <f t="shared" si="4"/>
        <v>3677.0711649999721</v>
      </c>
      <c r="BI86" s="106">
        <f t="shared" si="5"/>
        <v>6761.9288350000279</v>
      </c>
    </row>
    <row r="87" spans="2:61">
      <c r="B87" s="89" t="s">
        <v>326</v>
      </c>
      <c r="C87" s="90">
        <f>'[1]LEA - Summary GASB75'!H87</f>
        <v>749</v>
      </c>
      <c r="D87" s="91">
        <f t="shared" si="3"/>
        <v>60.612825000000001</v>
      </c>
      <c r="E87" s="92">
        <v>865</v>
      </c>
      <c r="F87" s="93">
        <v>70</v>
      </c>
      <c r="G87" s="94">
        <v>8.0924999999999997E-2</v>
      </c>
      <c r="H87" s="94">
        <v>0.91907499999999998</v>
      </c>
      <c r="I87" s="100">
        <v>865</v>
      </c>
      <c r="J87" s="101">
        <v>70</v>
      </c>
      <c r="K87" s="102">
        <v>795</v>
      </c>
      <c r="L87" s="100">
        <v>119</v>
      </c>
      <c r="M87" s="101">
        <v>10</v>
      </c>
      <c r="N87" s="101">
        <v>109</v>
      </c>
      <c r="O87" s="100">
        <v>0</v>
      </c>
      <c r="P87" s="101">
        <v>0</v>
      </c>
      <c r="Q87" s="101">
        <v>0</v>
      </c>
      <c r="R87" s="100">
        <v>0</v>
      </c>
      <c r="S87" s="101">
        <v>0</v>
      </c>
      <c r="T87" s="101">
        <v>0</v>
      </c>
      <c r="U87" s="100">
        <v>0</v>
      </c>
      <c r="V87" s="101">
        <v>0</v>
      </c>
      <c r="W87" s="101">
        <v>0</v>
      </c>
      <c r="X87" s="100">
        <v>3</v>
      </c>
      <c r="Y87" s="101">
        <v>0</v>
      </c>
      <c r="Z87" s="101">
        <v>3</v>
      </c>
      <c r="AA87" s="107">
        <v>-2</v>
      </c>
      <c r="AB87" s="98">
        <v>-1</v>
      </c>
      <c r="AC87" s="98">
        <v>0</v>
      </c>
      <c r="AD87" s="98">
        <v>0</v>
      </c>
      <c r="AE87" s="98">
        <v>0</v>
      </c>
      <c r="AF87" s="99">
        <v>0</v>
      </c>
      <c r="AG87" s="107">
        <v>-0.16184999999999999</v>
      </c>
      <c r="AH87" s="98">
        <v>-8.0924999999999997E-2</v>
      </c>
      <c r="AI87" s="98">
        <v>0</v>
      </c>
      <c r="AJ87" s="98">
        <v>0</v>
      </c>
      <c r="AK87" s="98">
        <v>0</v>
      </c>
      <c r="AL87" s="99">
        <v>0</v>
      </c>
      <c r="AM87" s="107">
        <v>-1.83815</v>
      </c>
      <c r="AN87" s="98">
        <v>-0.91907499999999998</v>
      </c>
      <c r="AO87" s="98">
        <v>0</v>
      </c>
      <c r="AP87" s="98">
        <v>0</v>
      </c>
      <c r="AQ87" s="98">
        <v>0</v>
      </c>
      <c r="AR87" s="99">
        <v>0</v>
      </c>
      <c r="AS87" s="100">
        <v>-59</v>
      </c>
      <c r="AT87" s="101">
        <v>0</v>
      </c>
      <c r="AU87" s="102">
        <v>-59</v>
      </c>
      <c r="AV87" s="103">
        <v>871</v>
      </c>
      <c r="AW87" s="104">
        <v>854</v>
      </c>
      <c r="AX87" s="104">
        <v>836</v>
      </c>
      <c r="AY87" s="105">
        <v>890</v>
      </c>
      <c r="AZ87" s="103">
        <v>70</v>
      </c>
      <c r="BA87" s="104">
        <v>69</v>
      </c>
      <c r="BB87" s="104">
        <v>68</v>
      </c>
      <c r="BC87" s="105">
        <v>72</v>
      </c>
      <c r="BD87" s="103">
        <v>801</v>
      </c>
      <c r="BE87" s="104">
        <v>785</v>
      </c>
      <c r="BF87" s="104">
        <v>768</v>
      </c>
      <c r="BG87" s="105">
        <v>818</v>
      </c>
      <c r="BH87" s="64">
        <f t="shared" si="4"/>
        <v>9.3871749999999992</v>
      </c>
      <c r="BI87" s="106">
        <f t="shared" si="5"/>
        <v>106.61282500000004</v>
      </c>
    </row>
    <row r="88" spans="2:61">
      <c r="B88" s="89" t="s">
        <v>327</v>
      </c>
      <c r="C88" s="90">
        <f>'[1]LEA - Summary GASB75'!H88</f>
        <v>4122464</v>
      </c>
      <c r="D88" s="91">
        <f t="shared" si="3"/>
        <v>1481300.254336</v>
      </c>
      <c r="E88" s="92">
        <v>4063832</v>
      </c>
      <c r="F88" s="93">
        <v>1460232</v>
      </c>
      <c r="G88" s="94">
        <v>0.35932399999999998</v>
      </c>
      <c r="H88" s="94">
        <v>0.64067600000000002</v>
      </c>
      <c r="I88" s="100">
        <v>4063832</v>
      </c>
      <c r="J88" s="101">
        <v>1460232</v>
      </c>
      <c r="K88" s="102">
        <v>2603600</v>
      </c>
      <c r="L88" s="100">
        <v>332164</v>
      </c>
      <c r="M88" s="101">
        <v>119354</v>
      </c>
      <c r="N88" s="101">
        <v>212810</v>
      </c>
      <c r="O88" s="100">
        <v>0</v>
      </c>
      <c r="P88" s="101">
        <v>0</v>
      </c>
      <c r="Q88" s="101">
        <v>0</v>
      </c>
      <c r="R88" s="100">
        <v>0</v>
      </c>
      <c r="S88" s="101">
        <v>0</v>
      </c>
      <c r="T88" s="101">
        <v>0</v>
      </c>
      <c r="U88" s="100">
        <v>0</v>
      </c>
      <c r="V88" s="101">
        <v>0</v>
      </c>
      <c r="W88" s="101">
        <v>0</v>
      </c>
      <c r="X88" s="100">
        <v>175243</v>
      </c>
      <c r="Y88" s="101">
        <v>62969</v>
      </c>
      <c r="Z88" s="101">
        <v>112274</v>
      </c>
      <c r="AA88" s="107">
        <v>-19471</v>
      </c>
      <c r="AB88" s="98">
        <v>-19471</v>
      </c>
      <c r="AC88" s="98">
        <v>-19471</v>
      </c>
      <c r="AD88" s="98">
        <v>-19471</v>
      </c>
      <c r="AE88" s="98">
        <v>-19471</v>
      </c>
      <c r="AF88" s="99">
        <v>-77888</v>
      </c>
      <c r="AG88" s="107">
        <v>-6996.3976039999998</v>
      </c>
      <c r="AH88" s="98">
        <v>-6996.3976039999998</v>
      </c>
      <c r="AI88" s="98">
        <v>-6996.3976039999998</v>
      </c>
      <c r="AJ88" s="98">
        <v>-6996.3976039999998</v>
      </c>
      <c r="AK88" s="98">
        <v>-6996.3976039999998</v>
      </c>
      <c r="AL88" s="99">
        <v>-27987.027711999999</v>
      </c>
      <c r="AM88" s="107">
        <v>-12474.602396</v>
      </c>
      <c r="AN88" s="98">
        <v>-12474.602396</v>
      </c>
      <c r="AO88" s="98">
        <v>-12474.602396</v>
      </c>
      <c r="AP88" s="98">
        <v>-12474.602396</v>
      </c>
      <c r="AQ88" s="98">
        <v>-12474.602396</v>
      </c>
      <c r="AR88" s="99">
        <v>-49900.972288000004</v>
      </c>
      <c r="AS88" s="100">
        <v>-237293</v>
      </c>
      <c r="AT88" s="101">
        <v>-93391</v>
      </c>
      <c r="AU88" s="102">
        <v>-143902</v>
      </c>
      <c r="AV88" s="103">
        <v>4370526</v>
      </c>
      <c r="AW88" s="104">
        <v>3774775</v>
      </c>
      <c r="AX88" s="104">
        <v>3604794</v>
      </c>
      <c r="AY88" s="105">
        <v>4612120</v>
      </c>
      <c r="AZ88" s="103">
        <v>1570435</v>
      </c>
      <c r="BA88" s="104">
        <v>1356367</v>
      </c>
      <c r="BB88" s="104">
        <v>1295289</v>
      </c>
      <c r="BC88" s="105">
        <v>1657245</v>
      </c>
      <c r="BD88" s="103">
        <v>2800091</v>
      </c>
      <c r="BE88" s="104">
        <v>2418408</v>
      </c>
      <c r="BF88" s="104">
        <v>2309505</v>
      </c>
      <c r="BG88" s="105">
        <v>2954875</v>
      </c>
      <c r="BH88" s="64">
        <f t="shared" si="4"/>
        <v>-21068.254335999954</v>
      </c>
      <c r="BI88" s="106">
        <f t="shared" si="5"/>
        <v>-37563.745664000046</v>
      </c>
    </row>
    <row r="89" spans="2:61">
      <c r="B89" s="89" t="s">
        <v>328</v>
      </c>
      <c r="C89" s="90">
        <f>'[1]LEA - Summary GASB75'!H89</f>
        <v>44995</v>
      </c>
      <c r="D89" s="91">
        <f t="shared" si="3"/>
        <v>8541.5358350000006</v>
      </c>
      <c r="E89" s="92">
        <v>37928</v>
      </c>
      <c r="F89" s="93">
        <v>7200</v>
      </c>
      <c r="G89" s="94">
        <v>0.189833</v>
      </c>
      <c r="H89" s="94">
        <v>0.81016699999999997</v>
      </c>
      <c r="I89" s="100">
        <v>37928</v>
      </c>
      <c r="J89" s="101">
        <v>7200</v>
      </c>
      <c r="K89" s="102">
        <v>30728</v>
      </c>
      <c r="L89" s="100">
        <v>2202</v>
      </c>
      <c r="M89" s="101">
        <v>418</v>
      </c>
      <c r="N89" s="101">
        <v>1784</v>
      </c>
      <c r="O89" s="100">
        <v>0</v>
      </c>
      <c r="P89" s="101">
        <v>0</v>
      </c>
      <c r="Q89" s="101">
        <v>0</v>
      </c>
      <c r="R89" s="100">
        <v>0</v>
      </c>
      <c r="S89" s="101">
        <v>0</v>
      </c>
      <c r="T89" s="101">
        <v>0</v>
      </c>
      <c r="U89" s="100">
        <v>0</v>
      </c>
      <c r="V89" s="101">
        <v>0</v>
      </c>
      <c r="W89" s="101">
        <v>0</v>
      </c>
      <c r="X89" s="100">
        <v>696</v>
      </c>
      <c r="Y89" s="101">
        <v>132</v>
      </c>
      <c r="Z89" s="101">
        <v>564</v>
      </c>
      <c r="AA89" s="107">
        <v>-129</v>
      </c>
      <c r="AB89" s="98">
        <v>-129</v>
      </c>
      <c r="AC89" s="98">
        <v>-129</v>
      </c>
      <c r="AD89" s="98">
        <v>-129</v>
      </c>
      <c r="AE89" s="98">
        <v>-129</v>
      </c>
      <c r="AF89" s="99">
        <v>-51</v>
      </c>
      <c r="AG89" s="107">
        <v>-24.488457</v>
      </c>
      <c r="AH89" s="98">
        <v>-24.488457</v>
      </c>
      <c r="AI89" s="98">
        <v>-24.488457</v>
      </c>
      <c r="AJ89" s="98">
        <v>-24.488457</v>
      </c>
      <c r="AK89" s="98">
        <v>-24.488457</v>
      </c>
      <c r="AL89" s="99">
        <v>-9.6814830000000001</v>
      </c>
      <c r="AM89" s="107">
        <v>-104.511543</v>
      </c>
      <c r="AN89" s="98">
        <v>-104.511543</v>
      </c>
      <c r="AO89" s="98">
        <v>-104.511543</v>
      </c>
      <c r="AP89" s="98">
        <v>-104.511543</v>
      </c>
      <c r="AQ89" s="98">
        <v>-104.511543</v>
      </c>
      <c r="AR89" s="99">
        <v>-41.318517</v>
      </c>
      <c r="AS89" s="100">
        <v>-8650</v>
      </c>
      <c r="AT89" s="101">
        <v>-3066</v>
      </c>
      <c r="AU89" s="102">
        <v>-5584</v>
      </c>
      <c r="AV89" s="103">
        <v>39185</v>
      </c>
      <c r="AW89" s="104">
        <v>36744</v>
      </c>
      <c r="AX89" s="104">
        <v>36031</v>
      </c>
      <c r="AY89" s="105">
        <v>40140</v>
      </c>
      <c r="AZ89" s="103">
        <v>7439</v>
      </c>
      <c r="BA89" s="104">
        <v>6975</v>
      </c>
      <c r="BB89" s="104">
        <v>6840</v>
      </c>
      <c r="BC89" s="105">
        <v>7620</v>
      </c>
      <c r="BD89" s="103">
        <v>31746</v>
      </c>
      <c r="BE89" s="104">
        <v>29769</v>
      </c>
      <c r="BF89" s="104">
        <v>29191</v>
      </c>
      <c r="BG89" s="105">
        <v>32520</v>
      </c>
      <c r="BH89" s="64">
        <f t="shared" si="4"/>
        <v>-1341.5358350000006</v>
      </c>
      <c r="BI89" s="106">
        <f t="shared" si="5"/>
        <v>-5725.4641649999976</v>
      </c>
    </row>
    <row r="90" spans="2:61">
      <c r="B90" s="89" t="s">
        <v>329</v>
      </c>
      <c r="C90" s="90">
        <f>'[1]LEA - Summary GASB75'!H90</f>
        <v>7310671</v>
      </c>
      <c r="D90" s="91">
        <f t="shared" si="3"/>
        <v>2342156.2216250002</v>
      </c>
      <c r="E90" s="92">
        <v>7239833</v>
      </c>
      <c r="F90" s="93">
        <v>2319465</v>
      </c>
      <c r="G90" s="94">
        <v>0.32037500000000002</v>
      </c>
      <c r="H90" s="94">
        <v>0.67962499999999992</v>
      </c>
      <c r="I90" s="100">
        <v>7239833</v>
      </c>
      <c r="J90" s="101">
        <v>2319461</v>
      </c>
      <c r="K90" s="102">
        <v>4920372</v>
      </c>
      <c r="L90" s="100">
        <v>586472</v>
      </c>
      <c r="M90" s="101">
        <v>187891</v>
      </c>
      <c r="N90" s="101">
        <v>398581</v>
      </c>
      <c r="O90" s="100">
        <v>0</v>
      </c>
      <c r="P90" s="101">
        <v>0</v>
      </c>
      <c r="Q90" s="101">
        <v>0</v>
      </c>
      <c r="R90" s="100">
        <v>0</v>
      </c>
      <c r="S90" s="101">
        <v>0</v>
      </c>
      <c r="T90" s="101">
        <v>0</v>
      </c>
      <c r="U90" s="100">
        <v>0</v>
      </c>
      <c r="V90" s="101">
        <v>0</v>
      </c>
      <c r="W90" s="101">
        <v>0</v>
      </c>
      <c r="X90" s="100">
        <v>316407</v>
      </c>
      <c r="Y90" s="101">
        <v>101369</v>
      </c>
      <c r="Z90" s="101">
        <v>215038</v>
      </c>
      <c r="AA90" s="107">
        <v>-34022</v>
      </c>
      <c r="AB90" s="98">
        <v>-34022</v>
      </c>
      <c r="AC90" s="98">
        <v>-34022</v>
      </c>
      <c r="AD90" s="98">
        <v>-34022</v>
      </c>
      <c r="AE90" s="98">
        <v>-34022</v>
      </c>
      <c r="AF90" s="99">
        <v>-146297</v>
      </c>
      <c r="AG90" s="107">
        <v>-10899.79825</v>
      </c>
      <c r="AH90" s="98">
        <v>-10899.79825</v>
      </c>
      <c r="AI90" s="98">
        <v>-10899.79825</v>
      </c>
      <c r="AJ90" s="98">
        <v>-10899.79825</v>
      </c>
      <c r="AK90" s="98">
        <v>-10899.79825</v>
      </c>
      <c r="AL90" s="99">
        <v>-46869.901375000001</v>
      </c>
      <c r="AM90" s="107">
        <v>-23122.20175</v>
      </c>
      <c r="AN90" s="98">
        <v>-23122.20175</v>
      </c>
      <c r="AO90" s="98">
        <v>-23122.20175</v>
      </c>
      <c r="AP90" s="98">
        <v>-23122.20175</v>
      </c>
      <c r="AQ90" s="98">
        <v>-23122.20175</v>
      </c>
      <c r="AR90" s="99">
        <v>-99427.098624999999</v>
      </c>
      <c r="AS90" s="100">
        <v>-375525</v>
      </c>
      <c r="AT90" s="101">
        <v>-131360</v>
      </c>
      <c r="AU90" s="102">
        <v>-244165</v>
      </c>
      <c r="AV90" s="103">
        <v>7792002</v>
      </c>
      <c r="AW90" s="104">
        <v>6717509</v>
      </c>
      <c r="AX90" s="104">
        <v>6411911</v>
      </c>
      <c r="AY90" s="105">
        <v>8229028</v>
      </c>
      <c r="AZ90" s="103">
        <v>2496363</v>
      </c>
      <c r="BA90" s="104">
        <v>2152122</v>
      </c>
      <c r="BB90" s="104">
        <v>2054216</v>
      </c>
      <c r="BC90" s="105">
        <v>2636375</v>
      </c>
      <c r="BD90" s="103">
        <v>5295639</v>
      </c>
      <c r="BE90" s="104">
        <v>4565387</v>
      </c>
      <c r="BF90" s="104">
        <v>4357695</v>
      </c>
      <c r="BG90" s="105">
        <v>5592653</v>
      </c>
      <c r="BH90" s="64">
        <f t="shared" si="4"/>
        <v>-22691.221625000238</v>
      </c>
      <c r="BI90" s="106">
        <f t="shared" si="5"/>
        <v>-48146.778374999762</v>
      </c>
    </row>
    <row r="91" spans="2:61">
      <c r="B91" s="89" t="s">
        <v>330</v>
      </c>
      <c r="C91" s="90">
        <f>'[1]LEA - Summary GASB75'!H91</f>
        <v>5380378</v>
      </c>
      <c r="D91" s="91">
        <f t="shared" si="3"/>
        <v>1753061.6618499998</v>
      </c>
      <c r="E91" s="92">
        <v>5362700</v>
      </c>
      <c r="F91" s="93">
        <v>1747301</v>
      </c>
      <c r="G91" s="94">
        <v>0.32582499999999998</v>
      </c>
      <c r="H91" s="94">
        <v>0.67417499999999997</v>
      </c>
      <c r="I91" s="100">
        <v>5362700</v>
      </c>
      <c r="J91" s="101">
        <v>1747302</v>
      </c>
      <c r="K91" s="102">
        <v>3615398</v>
      </c>
      <c r="L91" s="100">
        <v>445050</v>
      </c>
      <c r="M91" s="101">
        <v>145008</v>
      </c>
      <c r="N91" s="101">
        <v>300042</v>
      </c>
      <c r="O91" s="100">
        <v>0</v>
      </c>
      <c r="P91" s="101">
        <v>0</v>
      </c>
      <c r="Q91" s="101">
        <v>0</v>
      </c>
      <c r="R91" s="100">
        <v>0</v>
      </c>
      <c r="S91" s="101">
        <v>0</v>
      </c>
      <c r="T91" s="101">
        <v>0</v>
      </c>
      <c r="U91" s="100">
        <v>0</v>
      </c>
      <c r="V91" s="101">
        <v>0</v>
      </c>
      <c r="W91" s="101">
        <v>0</v>
      </c>
      <c r="X91" s="100">
        <v>249285</v>
      </c>
      <c r="Y91" s="101">
        <v>81223</v>
      </c>
      <c r="Z91" s="101">
        <v>168062</v>
      </c>
      <c r="AA91" s="107">
        <v>-26520</v>
      </c>
      <c r="AB91" s="98">
        <v>-26520</v>
      </c>
      <c r="AC91" s="98">
        <v>-26520</v>
      </c>
      <c r="AD91" s="98">
        <v>-26520</v>
      </c>
      <c r="AE91" s="98">
        <v>-26520</v>
      </c>
      <c r="AF91" s="99">
        <v>-116685</v>
      </c>
      <c r="AG91" s="107">
        <v>-8640.878999999999</v>
      </c>
      <c r="AH91" s="98">
        <v>-8640.878999999999</v>
      </c>
      <c r="AI91" s="98">
        <v>-8640.878999999999</v>
      </c>
      <c r="AJ91" s="98">
        <v>-8640.878999999999</v>
      </c>
      <c r="AK91" s="98">
        <v>-8640.878999999999</v>
      </c>
      <c r="AL91" s="99">
        <v>-38018.890124999998</v>
      </c>
      <c r="AM91" s="107">
        <v>-17879.120999999999</v>
      </c>
      <c r="AN91" s="98">
        <v>-17879.120999999999</v>
      </c>
      <c r="AO91" s="98">
        <v>-17879.120999999999</v>
      </c>
      <c r="AP91" s="98">
        <v>-17879.120999999999</v>
      </c>
      <c r="AQ91" s="98">
        <v>-17879.120999999999</v>
      </c>
      <c r="AR91" s="99">
        <v>-78666.109874999995</v>
      </c>
      <c r="AS91" s="100">
        <v>-219806</v>
      </c>
      <c r="AT91" s="101">
        <v>-72411</v>
      </c>
      <c r="AU91" s="102">
        <v>-147395</v>
      </c>
      <c r="AV91" s="103">
        <v>5797205</v>
      </c>
      <c r="AW91" s="104">
        <v>4950273</v>
      </c>
      <c r="AX91" s="104">
        <v>4698964</v>
      </c>
      <c r="AY91" s="105">
        <v>6155316</v>
      </c>
      <c r="AZ91" s="103">
        <v>1888874</v>
      </c>
      <c r="BA91" s="104">
        <v>1612923</v>
      </c>
      <c r="BB91" s="104">
        <v>1531040</v>
      </c>
      <c r="BC91" s="105">
        <v>2005556</v>
      </c>
      <c r="BD91" s="103">
        <v>3908331</v>
      </c>
      <c r="BE91" s="104">
        <v>3337350</v>
      </c>
      <c r="BF91" s="104">
        <v>3167924</v>
      </c>
      <c r="BG91" s="105">
        <v>4149760</v>
      </c>
      <c r="BH91" s="64">
        <f t="shared" si="4"/>
        <v>-5760.6618499998003</v>
      </c>
      <c r="BI91" s="106">
        <f t="shared" si="5"/>
        <v>-11917.3381500002</v>
      </c>
    </row>
    <row r="92" spans="2:61">
      <c r="B92" s="89" t="s">
        <v>331</v>
      </c>
      <c r="C92" s="90">
        <f>'[1]LEA - Summary GASB75'!H92</f>
        <v>3488013</v>
      </c>
      <c r="D92" s="91">
        <f t="shared" si="3"/>
        <v>1194926.9815530002</v>
      </c>
      <c r="E92" s="92">
        <v>3407546</v>
      </c>
      <c r="F92" s="93">
        <v>1167360</v>
      </c>
      <c r="G92" s="94">
        <v>0.34258100000000002</v>
      </c>
      <c r="H92" s="94">
        <v>0.65741899999999998</v>
      </c>
      <c r="I92" s="100">
        <v>3407546</v>
      </c>
      <c r="J92" s="101">
        <v>1167361</v>
      </c>
      <c r="K92" s="102">
        <v>2240185</v>
      </c>
      <c r="L92" s="100">
        <v>247769</v>
      </c>
      <c r="M92" s="101">
        <v>84881</v>
      </c>
      <c r="N92" s="101">
        <v>162888</v>
      </c>
      <c r="O92" s="100">
        <v>0</v>
      </c>
      <c r="P92" s="101">
        <v>0</v>
      </c>
      <c r="Q92" s="101">
        <v>0</v>
      </c>
      <c r="R92" s="100">
        <v>0</v>
      </c>
      <c r="S92" s="101">
        <v>0</v>
      </c>
      <c r="T92" s="101">
        <v>0</v>
      </c>
      <c r="U92" s="100">
        <v>0</v>
      </c>
      <c r="V92" s="101">
        <v>0</v>
      </c>
      <c r="W92" s="101">
        <v>0</v>
      </c>
      <c r="X92" s="100">
        <v>137164</v>
      </c>
      <c r="Y92" s="101">
        <v>46990</v>
      </c>
      <c r="Z92" s="101">
        <v>90174</v>
      </c>
      <c r="AA92" s="107">
        <v>-15587</v>
      </c>
      <c r="AB92" s="98">
        <v>-15587</v>
      </c>
      <c r="AC92" s="98">
        <v>-15587</v>
      </c>
      <c r="AD92" s="98">
        <v>-15587</v>
      </c>
      <c r="AE92" s="98">
        <v>-15587</v>
      </c>
      <c r="AF92" s="99">
        <v>-59229</v>
      </c>
      <c r="AG92" s="107">
        <v>-5339.8100469999999</v>
      </c>
      <c r="AH92" s="98">
        <v>-5339.8100469999999</v>
      </c>
      <c r="AI92" s="98">
        <v>-5339.8100469999999</v>
      </c>
      <c r="AJ92" s="98">
        <v>-5339.8100469999999</v>
      </c>
      <c r="AK92" s="98">
        <v>-5339.8100469999999</v>
      </c>
      <c r="AL92" s="99">
        <v>-20290.730049000002</v>
      </c>
      <c r="AM92" s="107">
        <v>-10247.189953000001</v>
      </c>
      <c r="AN92" s="98">
        <v>-10247.189953000001</v>
      </c>
      <c r="AO92" s="98">
        <v>-10247.189953000001</v>
      </c>
      <c r="AP92" s="98">
        <v>-10247.189953000001</v>
      </c>
      <c r="AQ92" s="98">
        <v>-10247.189953000001</v>
      </c>
      <c r="AR92" s="99">
        <v>-38938.269950999995</v>
      </c>
      <c r="AS92" s="100">
        <v>-198836</v>
      </c>
      <c r="AT92" s="101">
        <v>-63478</v>
      </c>
      <c r="AU92" s="102">
        <v>-135358</v>
      </c>
      <c r="AV92" s="103">
        <v>3648010</v>
      </c>
      <c r="AW92" s="104">
        <v>3178688</v>
      </c>
      <c r="AX92" s="104">
        <v>3047919</v>
      </c>
      <c r="AY92" s="105">
        <v>3832266</v>
      </c>
      <c r="AZ92" s="103">
        <v>1249739</v>
      </c>
      <c r="BA92" s="104">
        <v>1088958</v>
      </c>
      <c r="BB92" s="104">
        <v>1044159</v>
      </c>
      <c r="BC92" s="105">
        <v>1312862</v>
      </c>
      <c r="BD92" s="103">
        <v>2398271</v>
      </c>
      <c r="BE92" s="104">
        <v>2089730</v>
      </c>
      <c r="BF92" s="104">
        <v>2003760</v>
      </c>
      <c r="BG92" s="105">
        <v>2519404</v>
      </c>
      <c r="BH92" s="64">
        <f t="shared" si="4"/>
        <v>-27566.981553000165</v>
      </c>
      <c r="BI92" s="106">
        <f t="shared" si="5"/>
        <v>-52900.018446999602</v>
      </c>
    </row>
    <row r="93" spans="2:61">
      <c r="B93" s="89" t="s">
        <v>332</v>
      </c>
      <c r="C93" s="90">
        <f>'[1]LEA - Summary GASB75'!H93</f>
        <v>4631907</v>
      </c>
      <c r="D93" s="91">
        <f t="shared" si="3"/>
        <v>1608517.7119829999</v>
      </c>
      <c r="E93" s="92">
        <v>4529031</v>
      </c>
      <c r="F93" s="93">
        <v>1572792</v>
      </c>
      <c r="G93" s="94">
        <v>0.34726899999999999</v>
      </c>
      <c r="H93" s="94">
        <v>0.65273099999999995</v>
      </c>
      <c r="I93" s="100">
        <v>4529031</v>
      </c>
      <c r="J93" s="101">
        <v>1572792</v>
      </c>
      <c r="K93" s="102">
        <v>2956239</v>
      </c>
      <c r="L93" s="100">
        <v>380779</v>
      </c>
      <c r="M93" s="101">
        <v>132233</v>
      </c>
      <c r="N93" s="101">
        <v>248546</v>
      </c>
      <c r="O93" s="100">
        <v>0</v>
      </c>
      <c r="P93" s="101">
        <v>0</v>
      </c>
      <c r="Q93" s="101">
        <v>0</v>
      </c>
      <c r="R93" s="100">
        <v>0</v>
      </c>
      <c r="S93" s="101">
        <v>0</v>
      </c>
      <c r="T93" s="101">
        <v>0</v>
      </c>
      <c r="U93" s="100">
        <v>0</v>
      </c>
      <c r="V93" s="101">
        <v>0</v>
      </c>
      <c r="W93" s="101">
        <v>0</v>
      </c>
      <c r="X93" s="100">
        <v>186589</v>
      </c>
      <c r="Y93" s="101">
        <v>64797</v>
      </c>
      <c r="Z93" s="101">
        <v>121792</v>
      </c>
      <c r="AA93" s="107">
        <v>-20965</v>
      </c>
      <c r="AB93" s="98">
        <v>-20965</v>
      </c>
      <c r="AC93" s="98">
        <v>-20965</v>
      </c>
      <c r="AD93" s="98">
        <v>-20965</v>
      </c>
      <c r="AE93" s="98">
        <v>-20965</v>
      </c>
      <c r="AF93" s="99">
        <v>-81764</v>
      </c>
      <c r="AG93" s="107">
        <v>-7280.4945849999995</v>
      </c>
      <c r="AH93" s="98">
        <v>-7280.4945849999995</v>
      </c>
      <c r="AI93" s="98">
        <v>-7280.4945849999995</v>
      </c>
      <c r="AJ93" s="98">
        <v>-7280.4945849999995</v>
      </c>
      <c r="AK93" s="98">
        <v>-7280.4945849999995</v>
      </c>
      <c r="AL93" s="99">
        <v>-28394.102515999999</v>
      </c>
      <c r="AM93" s="107">
        <v>-13684.505415</v>
      </c>
      <c r="AN93" s="98">
        <v>-13684.505415</v>
      </c>
      <c r="AO93" s="98">
        <v>-13684.505415</v>
      </c>
      <c r="AP93" s="98">
        <v>-13684.505415</v>
      </c>
      <c r="AQ93" s="98">
        <v>-13684.505415</v>
      </c>
      <c r="AR93" s="99">
        <v>-53369.897484000001</v>
      </c>
      <c r="AS93" s="100">
        <v>-318772</v>
      </c>
      <c r="AT93" s="101">
        <v>-110904</v>
      </c>
      <c r="AU93" s="102">
        <v>-207868</v>
      </c>
      <c r="AV93" s="103">
        <v>4855563</v>
      </c>
      <c r="AW93" s="104">
        <v>4216181</v>
      </c>
      <c r="AX93" s="104">
        <v>4014076</v>
      </c>
      <c r="AY93" s="105">
        <v>5138620</v>
      </c>
      <c r="AZ93" s="103">
        <v>1686187</v>
      </c>
      <c r="BA93" s="104">
        <v>1464149</v>
      </c>
      <c r="BB93" s="104">
        <v>1393964</v>
      </c>
      <c r="BC93" s="105">
        <v>1784483</v>
      </c>
      <c r="BD93" s="103">
        <v>3169376</v>
      </c>
      <c r="BE93" s="104">
        <v>2752032</v>
      </c>
      <c r="BF93" s="104">
        <v>2620112</v>
      </c>
      <c r="BG93" s="105">
        <v>3354137</v>
      </c>
      <c r="BH93" s="64">
        <f t="shared" si="4"/>
        <v>-35725.711982999928</v>
      </c>
      <c r="BI93" s="106">
        <f t="shared" si="5"/>
        <v>-67150.288017000072</v>
      </c>
    </row>
    <row r="94" spans="2:61">
      <c r="B94" s="89" t="s">
        <v>333</v>
      </c>
      <c r="C94" s="90">
        <f>'[1]LEA - Summary GASB75'!H94</f>
        <v>8631138</v>
      </c>
      <c r="D94" s="91">
        <f t="shared" si="3"/>
        <v>2826171.1955819996</v>
      </c>
      <c r="E94" s="92">
        <v>8579449</v>
      </c>
      <c r="F94" s="93">
        <v>2809245</v>
      </c>
      <c r="G94" s="94">
        <v>0.32743899999999998</v>
      </c>
      <c r="H94" s="94">
        <v>0.67256099999999996</v>
      </c>
      <c r="I94" s="100">
        <v>8579449</v>
      </c>
      <c r="J94" s="101">
        <v>2809246</v>
      </c>
      <c r="K94" s="102">
        <v>5770203</v>
      </c>
      <c r="L94" s="100">
        <v>757731</v>
      </c>
      <c r="M94" s="101">
        <v>248111</v>
      </c>
      <c r="N94" s="101">
        <v>509620</v>
      </c>
      <c r="O94" s="100">
        <v>0</v>
      </c>
      <c r="P94" s="101">
        <v>0</v>
      </c>
      <c r="Q94" s="101">
        <v>0</v>
      </c>
      <c r="R94" s="100">
        <v>0</v>
      </c>
      <c r="S94" s="101">
        <v>0</v>
      </c>
      <c r="T94" s="101">
        <v>0</v>
      </c>
      <c r="U94" s="100">
        <v>0</v>
      </c>
      <c r="V94" s="101">
        <v>0</v>
      </c>
      <c r="W94" s="101">
        <v>0</v>
      </c>
      <c r="X94" s="100">
        <v>381294</v>
      </c>
      <c r="Y94" s="101">
        <v>124851</v>
      </c>
      <c r="Z94" s="101">
        <v>256443</v>
      </c>
      <c r="AA94" s="107">
        <v>-41900</v>
      </c>
      <c r="AB94" s="98">
        <v>-41900</v>
      </c>
      <c r="AC94" s="98">
        <v>-41900</v>
      </c>
      <c r="AD94" s="98">
        <v>-41900</v>
      </c>
      <c r="AE94" s="98">
        <v>-41900</v>
      </c>
      <c r="AF94" s="99">
        <v>-171794</v>
      </c>
      <c r="AG94" s="107">
        <v>-13719.694099999999</v>
      </c>
      <c r="AH94" s="98">
        <v>-13719.694099999999</v>
      </c>
      <c r="AI94" s="98">
        <v>-13719.694099999999</v>
      </c>
      <c r="AJ94" s="98">
        <v>-13719.694099999999</v>
      </c>
      <c r="AK94" s="98">
        <v>-13719.694099999999</v>
      </c>
      <c r="AL94" s="99">
        <v>-56252.055565999995</v>
      </c>
      <c r="AM94" s="107">
        <v>-28180.305899999999</v>
      </c>
      <c r="AN94" s="98">
        <v>-28180.305899999999</v>
      </c>
      <c r="AO94" s="98">
        <v>-28180.305899999999</v>
      </c>
      <c r="AP94" s="98">
        <v>-28180.305899999999</v>
      </c>
      <c r="AQ94" s="98">
        <v>-28180.305899999999</v>
      </c>
      <c r="AR94" s="99">
        <v>-115541.944434</v>
      </c>
      <c r="AS94" s="100">
        <v>-443364</v>
      </c>
      <c r="AT94" s="101">
        <v>-116579</v>
      </c>
      <c r="AU94" s="102">
        <v>-326785</v>
      </c>
      <c r="AV94" s="103">
        <v>9245212</v>
      </c>
      <c r="AW94" s="104">
        <v>7943746</v>
      </c>
      <c r="AX94" s="104">
        <v>7533158</v>
      </c>
      <c r="AY94" s="105">
        <v>9822730</v>
      </c>
      <c r="AZ94" s="103">
        <v>3027243</v>
      </c>
      <c r="BA94" s="104">
        <v>2601092</v>
      </c>
      <c r="BB94" s="104">
        <v>2466650</v>
      </c>
      <c r="BC94" s="105">
        <v>3216345</v>
      </c>
      <c r="BD94" s="103">
        <v>6217969</v>
      </c>
      <c r="BE94" s="104">
        <v>5342654</v>
      </c>
      <c r="BF94" s="104">
        <v>5066508</v>
      </c>
      <c r="BG94" s="105">
        <v>6606385</v>
      </c>
      <c r="BH94" s="64">
        <f t="shared" si="4"/>
        <v>-16926.195581999607</v>
      </c>
      <c r="BI94" s="106">
        <f t="shared" si="5"/>
        <v>-34762.804418000393</v>
      </c>
    </row>
    <row r="95" spans="2:61">
      <c r="B95" s="89" t="s">
        <v>334</v>
      </c>
      <c r="C95" s="90">
        <f>'[1]LEA - Summary GASB75'!H95</f>
        <v>30603657</v>
      </c>
      <c r="D95" s="91">
        <f t="shared" si="3"/>
        <v>8420412.6016080007</v>
      </c>
      <c r="E95" s="92">
        <v>30190680</v>
      </c>
      <c r="F95" s="93">
        <v>8306798</v>
      </c>
      <c r="G95" s="94">
        <v>0.275144</v>
      </c>
      <c r="H95" s="94">
        <v>0.72485599999999994</v>
      </c>
      <c r="I95" s="100">
        <v>30190680</v>
      </c>
      <c r="J95" s="101">
        <v>8306784</v>
      </c>
      <c r="K95" s="102">
        <v>21883896</v>
      </c>
      <c r="L95" s="100">
        <v>2552948</v>
      </c>
      <c r="M95" s="101">
        <v>702428</v>
      </c>
      <c r="N95" s="101">
        <v>1850520</v>
      </c>
      <c r="O95" s="100">
        <v>0</v>
      </c>
      <c r="P95" s="101">
        <v>0</v>
      </c>
      <c r="Q95" s="101">
        <v>0</v>
      </c>
      <c r="R95" s="100">
        <v>0</v>
      </c>
      <c r="S95" s="101">
        <v>0</v>
      </c>
      <c r="T95" s="101">
        <v>0</v>
      </c>
      <c r="U95" s="100">
        <v>0</v>
      </c>
      <c r="V95" s="101">
        <v>0</v>
      </c>
      <c r="W95" s="101">
        <v>0</v>
      </c>
      <c r="X95" s="100">
        <v>1145030</v>
      </c>
      <c r="Y95" s="101">
        <v>315048</v>
      </c>
      <c r="Z95" s="101">
        <v>829982</v>
      </c>
      <c r="AA95" s="107">
        <v>-136313</v>
      </c>
      <c r="AB95" s="98">
        <v>-136313</v>
      </c>
      <c r="AC95" s="98">
        <v>-136313</v>
      </c>
      <c r="AD95" s="98">
        <v>-136313</v>
      </c>
      <c r="AE95" s="98">
        <v>-136313</v>
      </c>
      <c r="AF95" s="99">
        <v>-463465</v>
      </c>
      <c r="AG95" s="107">
        <v>-37505.704072</v>
      </c>
      <c r="AH95" s="98">
        <v>-37505.704072</v>
      </c>
      <c r="AI95" s="98">
        <v>-37505.704072</v>
      </c>
      <c r="AJ95" s="98">
        <v>-37505.704072</v>
      </c>
      <c r="AK95" s="98">
        <v>-37505.704072</v>
      </c>
      <c r="AL95" s="99">
        <v>-127519.61396</v>
      </c>
      <c r="AM95" s="107">
        <v>-98807.295928000007</v>
      </c>
      <c r="AN95" s="98">
        <v>-98807.295928000007</v>
      </c>
      <c r="AO95" s="98">
        <v>-98807.295928000007</v>
      </c>
      <c r="AP95" s="98">
        <v>-98807.295928000007</v>
      </c>
      <c r="AQ95" s="98">
        <v>-98807.295928000007</v>
      </c>
      <c r="AR95" s="99">
        <v>-335945.38604000001</v>
      </c>
      <c r="AS95" s="100">
        <v>-1955367</v>
      </c>
      <c r="AT95" s="101">
        <v>-399527</v>
      </c>
      <c r="AU95" s="102">
        <v>-1555840</v>
      </c>
      <c r="AV95" s="103">
        <v>32209572</v>
      </c>
      <c r="AW95" s="104">
        <v>28265479</v>
      </c>
      <c r="AX95" s="104">
        <v>27093823</v>
      </c>
      <c r="AY95" s="105">
        <v>33841644</v>
      </c>
      <c r="AZ95" s="103">
        <v>8862270</v>
      </c>
      <c r="BA95" s="104">
        <v>7777077</v>
      </c>
      <c r="BB95" s="104">
        <v>7454703</v>
      </c>
      <c r="BC95" s="105">
        <v>9311325</v>
      </c>
      <c r="BD95" s="103">
        <v>23347302</v>
      </c>
      <c r="BE95" s="104">
        <v>20488402</v>
      </c>
      <c r="BF95" s="104">
        <v>19639120</v>
      </c>
      <c r="BG95" s="105">
        <v>24530319</v>
      </c>
      <c r="BH95" s="64">
        <f t="shared" si="4"/>
        <v>-113614.6016080007</v>
      </c>
      <c r="BI95" s="106">
        <f t="shared" si="5"/>
        <v>-299362.3983919993</v>
      </c>
    </row>
    <row r="96" spans="2:61">
      <c r="B96" s="89" t="s">
        <v>335</v>
      </c>
      <c r="C96" s="90">
        <f>'[1]LEA - Summary GASB75'!H96</f>
        <v>1543968</v>
      </c>
      <c r="D96" s="91">
        <f t="shared" si="3"/>
        <v>587293.00387200003</v>
      </c>
      <c r="E96" s="92">
        <v>1561788</v>
      </c>
      <c r="F96" s="93">
        <v>594072</v>
      </c>
      <c r="G96" s="94">
        <v>0.38037900000000002</v>
      </c>
      <c r="H96" s="94">
        <v>0.61962099999999998</v>
      </c>
      <c r="I96" s="100">
        <v>1561788</v>
      </c>
      <c r="J96" s="101">
        <v>594071</v>
      </c>
      <c r="K96" s="102">
        <v>967717</v>
      </c>
      <c r="L96" s="100">
        <v>124582</v>
      </c>
      <c r="M96" s="101">
        <v>47388</v>
      </c>
      <c r="N96" s="101">
        <v>77194</v>
      </c>
      <c r="O96" s="100">
        <v>0</v>
      </c>
      <c r="P96" s="101">
        <v>0</v>
      </c>
      <c r="Q96" s="101">
        <v>0</v>
      </c>
      <c r="R96" s="100">
        <v>0</v>
      </c>
      <c r="S96" s="101">
        <v>0</v>
      </c>
      <c r="T96" s="101">
        <v>0</v>
      </c>
      <c r="U96" s="100">
        <v>0</v>
      </c>
      <c r="V96" s="101">
        <v>0</v>
      </c>
      <c r="W96" s="101">
        <v>0</v>
      </c>
      <c r="X96" s="100">
        <v>68707</v>
      </c>
      <c r="Y96" s="101">
        <v>26135</v>
      </c>
      <c r="Z96" s="101">
        <v>42572</v>
      </c>
      <c r="AA96" s="107">
        <v>-7468</v>
      </c>
      <c r="AB96" s="98">
        <v>-7468</v>
      </c>
      <c r="AC96" s="98">
        <v>-7468</v>
      </c>
      <c r="AD96" s="98">
        <v>-7468</v>
      </c>
      <c r="AE96" s="98">
        <v>-7468</v>
      </c>
      <c r="AF96" s="99">
        <v>-31367</v>
      </c>
      <c r="AG96" s="107">
        <v>-2840.670372</v>
      </c>
      <c r="AH96" s="98">
        <v>-2840.670372</v>
      </c>
      <c r="AI96" s="98">
        <v>-2840.670372</v>
      </c>
      <c r="AJ96" s="98">
        <v>-2840.670372</v>
      </c>
      <c r="AK96" s="98">
        <v>-2840.670372</v>
      </c>
      <c r="AL96" s="99">
        <v>-11931.348093000001</v>
      </c>
      <c r="AM96" s="107">
        <v>-4627.3296279999995</v>
      </c>
      <c r="AN96" s="98">
        <v>-4627.3296279999995</v>
      </c>
      <c r="AO96" s="98">
        <v>-4627.3296279999995</v>
      </c>
      <c r="AP96" s="98">
        <v>-4627.3296279999995</v>
      </c>
      <c r="AQ96" s="98">
        <v>-4627.3296279999995</v>
      </c>
      <c r="AR96" s="99">
        <v>-19435.651906999999</v>
      </c>
      <c r="AS96" s="100">
        <v>-45804</v>
      </c>
      <c r="AT96" s="101">
        <v>-20172</v>
      </c>
      <c r="AU96" s="102">
        <v>-25632</v>
      </c>
      <c r="AV96" s="103">
        <v>1681733</v>
      </c>
      <c r="AW96" s="104">
        <v>1447764</v>
      </c>
      <c r="AX96" s="104">
        <v>1381042</v>
      </c>
      <c r="AY96" s="105">
        <v>1776382</v>
      </c>
      <c r="AZ96" s="103">
        <v>639696</v>
      </c>
      <c r="BA96" s="104">
        <v>550699</v>
      </c>
      <c r="BB96" s="104">
        <v>525319</v>
      </c>
      <c r="BC96" s="105">
        <v>675698</v>
      </c>
      <c r="BD96" s="103">
        <v>1042037</v>
      </c>
      <c r="BE96" s="104">
        <v>897065</v>
      </c>
      <c r="BF96" s="104">
        <v>855723</v>
      </c>
      <c r="BG96" s="105">
        <v>1100684</v>
      </c>
      <c r="BH96" s="64">
        <f t="shared" si="4"/>
        <v>6778.9961279999698</v>
      </c>
      <c r="BI96" s="106">
        <f t="shared" si="5"/>
        <v>11041.00387200003</v>
      </c>
    </row>
    <row r="97" spans="2:61">
      <c r="B97" s="89" t="s">
        <v>336</v>
      </c>
      <c r="C97" s="90">
        <f>'[1]LEA - Summary GASB75'!H97</f>
        <v>6034642</v>
      </c>
      <c r="D97" s="91">
        <f t="shared" si="3"/>
        <v>2099451.9517999999</v>
      </c>
      <c r="E97" s="92">
        <v>5996971</v>
      </c>
      <c r="F97" s="93">
        <v>2086344</v>
      </c>
      <c r="G97" s="94">
        <v>0.34789999999999999</v>
      </c>
      <c r="H97" s="94">
        <v>0.65210000000000001</v>
      </c>
      <c r="I97" s="100">
        <v>5996971</v>
      </c>
      <c r="J97" s="101">
        <v>2086346</v>
      </c>
      <c r="K97" s="102">
        <v>3910625</v>
      </c>
      <c r="L97" s="100">
        <v>526175</v>
      </c>
      <c r="M97" s="101">
        <v>183056</v>
      </c>
      <c r="N97" s="101">
        <v>343119</v>
      </c>
      <c r="O97" s="100">
        <v>0</v>
      </c>
      <c r="P97" s="101">
        <v>0</v>
      </c>
      <c r="Q97" s="101">
        <v>0</v>
      </c>
      <c r="R97" s="100">
        <v>0</v>
      </c>
      <c r="S97" s="101">
        <v>0</v>
      </c>
      <c r="T97" s="101">
        <v>0</v>
      </c>
      <c r="U97" s="100">
        <v>0</v>
      </c>
      <c r="V97" s="101">
        <v>0</v>
      </c>
      <c r="W97" s="101">
        <v>0</v>
      </c>
      <c r="X97" s="100">
        <v>253913</v>
      </c>
      <c r="Y97" s="101">
        <v>88336</v>
      </c>
      <c r="Z97" s="101">
        <v>165577</v>
      </c>
      <c r="AA97" s="107">
        <v>-28854</v>
      </c>
      <c r="AB97" s="98">
        <v>-28854</v>
      </c>
      <c r="AC97" s="98">
        <v>-28854</v>
      </c>
      <c r="AD97" s="98">
        <v>-28854</v>
      </c>
      <c r="AE97" s="98">
        <v>-28854</v>
      </c>
      <c r="AF97" s="99">
        <v>-109643</v>
      </c>
      <c r="AG97" s="107">
        <v>-10038.3066</v>
      </c>
      <c r="AH97" s="98">
        <v>-10038.3066</v>
      </c>
      <c r="AI97" s="98">
        <v>-10038.3066</v>
      </c>
      <c r="AJ97" s="98">
        <v>-10038.3066</v>
      </c>
      <c r="AK97" s="98">
        <v>-10038.3066</v>
      </c>
      <c r="AL97" s="99">
        <v>-38144.799699999996</v>
      </c>
      <c r="AM97" s="107">
        <v>-18815.6934</v>
      </c>
      <c r="AN97" s="98">
        <v>-18815.6934</v>
      </c>
      <c r="AO97" s="98">
        <v>-18815.6934</v>
      </c>
      <c r="AP97" s="98">
        <v>-18815.6934</v>
      </c>
      <c r="AQ97" s="98">
        <v>-18815.6934</v>
      </c>
      <c r="AR97" s="99">
        <v>-71498.200299999997</v>
      </c>
      <c r="AS97" s="100">
        <v>-354804</v>
      </c>
      <c r="AT97" s="101">
        <v>-128917</v>
      </c>
      <c r="AU97" s="102">
        <v>-225887</v>
      </c>
      <c r="AV97" s="103">
        <v>6442242</v>
      </c>
      <c r="AW97" s="104">
        <v>5572834</v>
      </c>
      <c r="AX97" s="104">
        <v>5302216</v>
      </c>
      <c r="AY97" s="105">
        <v>6827725</v>
      </c>
      <c r="AZ97" s="103">
        <v>2241256</v>
      </c>
      <c r="BA97" s="104">
        <v>1938789</v>
      </c>
      <c r="BB97" s="104">
        <v>1844641</v>
      </c>
      <c r="BC97" s="105">
        <v>2375366</v>
      </c>
      <c r="BD97" s="103">
        <v>4200986</v>
      </c>
      <c r="BE97" s="104">
        <v>3634045</v>
      </c>
      <c r="BF97" s="104">
        <v>3457575</v>
      </c>
      <c r="BG97" s="105">
        <v>4452359</v>
      </c>
      <c r="BH97" s="64">
        <f t="shared" si="4"/>
        <v>-13107.951799999923</v>
      </c>
      <c r="BI97" s="106">
        <f t="shared" si="5"/>
        <v>-24563.048200000077</v>
      </c>
    </row>
    <row r="98" spans="2:61">
      <c r="B98" s="89" t="s">
        <v>337</v>
      </c>
      <c r="C98" s="90">
        <f>'[1]LEA - Summary GASB75'!H98</f>
        <v>8862590</v>
      </c>
      <c r="D98" s="91">
        <f t="shared" si="3"/>
        <v>2851361.0807000003</v>
      </c>
      <c r="E98" s="92">
        <v>8947353</v>
      </c>
      <c r="F98" s="93">
        <v>2878635</v>
      </c>
      <c r="G98" s="94">
        <v>0.32173000000000002</v>
      </c>
      <c r="H98" s="94">
        <v>0.67826999999999993</v>
      </c>
      <c r="I98" s="100">
        <v>8947353</v>
      </c>
      <c r="J98" s="101">
        <v>2878632</v>
      </c>
      <c r="K98" s="102">
        <v>6068721</v>
      </c>
      <c r="L98" s="100">
        <v>799983</v>
      </c>
      <c r="M98" s="101">
        <v>257379</v>
      </c>
      <c r="N98" s="101">
        <v>542604</v>
      </c>
      <c r="O98" s="100">
        <v>0</v>
      </c>
      <c r="P98" s="101">
        <v>0</v>
      </c>
      <c r="Q98" s="101">
        <v>0</v>
      </c>
      <c r="R98" s="100">
        <v>0</v>
      </c>
      <c r="S98" s="101">
        <v>0</v>
      </c>
      <c r="T98" s="101">
        <v>0</v>
      </c>
      <c r="U98" s="100">
        <v>0</v>
      </c>
      <c r="V98" s="101">
        <v>0</v>
      </c>
      <c r="W98" s="101">
        <v>0</v>
      </c>
      <c r="X98" s="100">
        <v>388827</v>
      </c>
      <c r="Y98" s="101">
        <v>125097</v>
      </c>
      <c r="Z98" s="101">
        <v>263730</v>
      </c>
      <c r="AA98" s="107">
        <v>-40503</v>
      </c>
      <c r="AB98" s="98">
        <v>-40503</v>
      </c>
      <c r="AC98" s="98">
        <v>-40503</v>
      </c>
      <c r="AD98" s="98">
        <v>-40503</v>
      </c>
      <c r="AE98" s="98">
        <v>-40503</v>
      </c>
      <c r="AF98" s="99">
        <v>-186312</v>
      </c>
      <c r="AG98" s="107">
        <v>-13031.030190000001</v>
      </c>
      <c r="AH98" s="98">
        <v>-13031.030190000001</v>
      </c>
      <c r="AI98" s="98">
        <v>-13031.030190000001</v>
      </c>
      <c r="AJ98" s="98">
        <v>-13031.030190000001</v>
      </c>
      <c r="AK98" s="98">
        <v>-13031.030190000001</v>
      </c>
      <c r="AL98" s="99">
        <v>-59942.159760000002</v>
      </c>
      <c r="AM98" s="107">
        <v>-27471.969809999999</v>
      </c>
      <c r="AN98" s="98">
        <v>-27471.969809999999</v>
      </c>
      <c r="AO98" s="98">
        <v>-27471.969809999999</v>
      </c>
      <c r="AP98" s="98">
        <v>-27471.969809999999</v>
      </c>
      <c r="AQ98" s="98">
        <v>-27471.969809999999</v>
      </c>
      <c r="AR98" s="99">
        <v>-126369.84023999999</v>
      </c>
      <c r="AS98" s="100">
        <v>-380546</v>
      </c>
      <c r="AT98" s="101">
        <v>-91759</v>
      </c>
      <c r="AU98" s="102">
        <v>-288787</v>
      </c>
      <c r="AV98" s="103">
        <v>9623129</v>
      </c>
      <c r="AW98" s="104">
        <v>8302133</v>
      </c>
      <c r="AX98" s="104">
        <v>7872161</v>
      </c>
      <c r="AY98" s="105">
        <v>10231489</v>
      </c>
      <c r="AZ98" s="103">
        <v>3096049</v>
      </c>
      <c r="BA98" s="104">
        <v>2671045</v>
      </c>
      <c r="BB98" s="104">
        <v>2532710</v>
      </c>
      <c r="BC98" s="105">
        <v>3291777</v>
      </c>
      <c r="BD98" s="103">
        <v>6527080</v>
      </c>
      <c r="BE98" s="104">
        <v>5631088</v>
      </c>
      <c r="BF98" s="104">
        <v>5339451</v>
      </c>
      <c r="BG98" s="105">
        <v>6939712</v>
      </c>
      <c r="BH98" s="64">
        <f t="shared" si="4"/>
        <v>27273.919299999718</v>
      </c>
      <c r="BI98" s="106">
        <f t="shared" si="5"/>
        <v>57489.080700000748</v>
      </c>
    </row>
    <row r="99" spans="2:61">
      <c r="B99" s="89" t="s">
        <v>338</v>
      </c>
      <c r="C99" s="90">
        <f>'[1]LEA - Summary GASB75'!H99</f>
        <v>1828749</v>
      </c>
      <c r="D99" s="91">
        <f t="shared" si="3"/>
        <v>655078.00803899998</v>
      </c>
      <c r="E99" s="92">
        <v>1849079</v>
      </c>
      <c r="F99" s="93">
        <v>662360</v>
      </c>
      <c r="G99" s="94">
        <v>0.358211</v>
      </c>
      <c r="H99" s="94">
        <v>0.64178899999999994</v>
      </c>
      <c r="I99" s="100">
        <v>1849079</v>
      </c>
      <c r="J99" s="101">
        <v>662360</v>
      </c>
      <c r="K99" s="102">
        <v>1186719</v>
      </c>
      <c r="L99" s="100">
        <v>171140</v>
      </c>
      <c r="M99" s="101">
        <v>61304</v>
      </c>
      <c r="N99" s="101">
        <v>109836</v>
      </c>
      <c r="O99" s="100">
        <v>0</v>
      </c>
      <c r="P99" s="101">
        <v>0</v>
      </c>
      <c r="Q99" s="101">
        <v>0</v>
      </c>
      <c r="R99" s="100">
        <v>0</v>
      </c>
      <c r="S99" s="101">
        <v>0</v>
      </c>
      <c r="T99" s="101">
        <v>0</v>
      </c>
      <c r="U99" s="100">
        <v>0</v>
      </c>
      <c r="V99" s="101">
        <v>0</v>
      </c>
      <c r="W99" s="101">
        <v>0</v>
      </c>
      <c r="X99" s="100">
        <v>84863</v>
      </c>
      <c r="Y99" s="101">
        <v>30399</v>
      </c>
      <c r="Z99" s="101">
        <v>54464</v>
      </c>
      <c r="AA99" s="107">
        <v>-8402</v>
      </c>
      <c r="AB99" s="98">
        <v>-8402</v>
      </c>
      <c r="AC99" s="98">
        <v>-8402</v>
      </c>
      <c r="AD99" s="98">
        <v>-8402</v>
      </c>
      <c r="AE99" s="98">
        <v>-8402</v>
      </c>
      <c r="AF99" s="99">
        <v>-42853</v>
      </c>
      <c r="AG99" s="107">
        <v>-3009.6888220000001</v>
      </c>
      <c r="AH99" s="98">
        <v>-3009.6888220000001</v>
      </c>
      <c r="AI99" s="98">
        <v>-3009.6888220000001</v>
      </c>
      <c r="AJ99" s="98">
        <v>-3009.6888220000001</v>
      </c>
      <c r="AK99" s="98">
        <v>-3009.6888220000001</v>
      </c>
      <c r="AL99" s="99">
        <v>-15350.415983000001</v>
      </c>
      <c r="AM99" s="107">
        <v>-5392.3111779999999</v>
      </c>
      <c r="AN99" s="98">
        <v>-5392.3111779999999</v>
      </c>
      <c r="AO99" s="98">
        <v>-5392.3111779999999</v>
      </c>
      <c r="AP99" s="98">
        <v>-5392.3111779999999</v>
      </c>
      <c r="AQ99" s="98">
        <v>-5392.3111779999999</v>
      </c>
      <c r="AR99" s="99">
        <v>-27502.584017000001</v>
      </c>
      <c r="AS99" s="100">
        <v>-76634</v>
      </c>
      <c r="AT99" s="101">
        <v>-28884</v>
      </c>
      <c r="AU99" s="102">
        <v>-47750</v>
      </c>
      <c r="AV99" s="103">
        <v>1995596</v>
      </c>
      <c r="AW99" s="104">
        <v>1709192</v>
      </c>
      <c r="AX99" s="104">
        <v>1614335</v>
      </c>
      <c r="AY99" s="105">
        <v>2130612</v>
      </c>
      <c r="AZ99" s="103">
        <v>714844</v>
      </c>
      <c r="BA99" s="104">
        <v>612251</v>
      </c>
      <c r="BB99" s="104">
        <v>578273</v>
      </c>
      <c r="BC99" s="105">
        <v>763209</v>
      </c>
      <c r="BD99" s="103">
        <v>1280752</v>
      </c>
      <c r="BE99" s="104">
        <v>1096941</v>
      </c>
      <c r="BF99" s="104">
        <v>1036062</v>
      </c>
      <c r="BG99" s="105">
        <v>1367403</v>
      </c>
      <c r="BH99" s="64">
        <f t="shared" si="4"/>
        <v>7281.9919610000215</v>
      </c>
      <c r="BI99" s="106">
        <f t="shared" si="5"/>
        <v>13048.008038999978</v>
      </c>
    </row>
    <row r="100" spans="2:61">
      <c r="B100" s="89" t="s">
        <v>339</v>
      </c>
      <c r="C100" s="90">
        <f>'[1]LEA - Summary GASB75'!H100</f>
        <v>4266857</v>
      </c>
      <c r="D100" s="91">
        <f t="shared" si="3"/>
        <v>1243234.1240900001</v>
      </c>
      <c r="E100" s="92">
        <v>4113531</v>
      </c>
      <c r="F100" s="93">
        <v>1198559</v>
      </c>
      <c r="G100" s="94">
        <v>0.29137000000000002</v>
      </c>
      <c r="H100" s="94">
        <v>0.70862999999999998</v>
      </c>
      <c r="I100" s="100">
        <v>4113531</v>
      </c>
      <c r="J100" s="101">
        <v>1198560</v>
      </c>
      <c r="K100" s="102">
        <v>2914971</v>
      </c>
      <c r="L100" s="100">
        <v>328741</v>
      </c>
      <c r="M100" s="101">
        <v>95785</v>
      </c>
      <c r="N100" s="101">
        <v>232956</v>
      </c>
      <c r="O100" s="100">
        <v>0</v>
      </c>
      <c r="P100" s="101">
        <v>0</v>
      </c>
      <c r="Q100" s="101">
        <v>0</v>
      </c>
      <c r="R100" s="100">
        <v>0</v>
      </c>
      <c r="S100" s="101">
        <v>0</v>
      </c>
      <c r="T100" s="101">
        <v>0</v>
      </c>
      <c r="U100" s="100">
        <v>0</v>
      </c>
      <c r="V100" s="101">
        <v>0</v>
      </c>
      <c r="W100" s="101">
        <v>0</v>
      </c>
      <c r="X100" s="100">
        <v>149424</v>
      </c>
      <c r="Y100" s="101">
        <v>43538</v>
      </c>
      <c r="Z100" s="101">
        <v>105886</v>
      </c>
      <c r="AA100" s="107">
        <v>-16980</v>
      </c>
      <c r="AB100" s="98">
        <v>-16980</v>
      </c>
      <c r="AC100" s="98">
        <v>-16980</v>
      </c>
      <c r="AD100" s="98">
        <v>-16980</v>
      </c>
      <c r="AE100" s="98">
        <v>-16980</v>
      </c>
      <c r="AF100" s="99">
        <v>-64524</v>
      </c>
      <c r="AG100" s="107">
        <v>-4947.4626000000007</v>
      </c>
      <c r="AH100" s="98">
        <v>-4947.4626000000007</v>
      </c>
      <c r="AI100" s="98">
        <v>-4947.4626000000007</v>
      </c>
      <c r="AJ100" s="98">
        <v>-4947.4626000000007</v>
      </c>
      <c r="AK100" s="98">
        <v>-4947.4626000000007</v>
      </c>
      <c r="AL100" s="99">
        <v>-18800.35788</v>
      </c>
      <c r="AM100" s="107">
        <v>-12032.537399999999</v>
      </c>
      <c r="AN100" s="98">
        <v>-12032.537399999999</v>
      </c>
      <c r="AO100" s="98">
        <v>-12032.537399999999</v>
      </c>
      <c r="AP100" s="98">
        <v>-12032.537399999999</v>
      </c>
      <c r="AQ100" s="98">
        <v>-12032.537399999999</v>
      </c>
      <c r="AR100" s="99">
        <v>-45723.642120000004</v>
      </c>
      <c r="AS100" s="100">
        <v>-348393</v>
      </c>
      <c r="AT100" s="101">
        <v>-77714</v>
      </c>
      <c r="AU100" s="102">
        <v>-270679</v>
      </c>
      <c r="AV100" s="103">
        <v>4375433</v>
      </c>
      <c r="AW100" s="104">
        <v>3862831</v>
      </c>
      <c r="AX100" s="104">
        <v>3707988</v>
      </c>
      <c r="AY100" s="105">
        <v>4590875</v>
      </c>
      <c r="AZ100" s="103">
        <v>1274870</v>
      </c>
      <c r="BA100" s="104">
        <v>1125513</v>
      </c>
      <c r="BB100" s="104">
        <v>1080396</v>
      </c>
      <c r="BC100" s="105">
        <v>1337643</v>
      </c>
      <c r="BD100" s="103">
        <v>3100563</v>
      </c>
      <c r="BE100" s="104">
        <v>2737318</v>
      </c>
      <c r="BF100" s="104">
        <v>2627592</v>
      </c>
      <c r="BG100" s="105">
        <v>3253232</v>
      </c>
      <c r="BH100" s="64">
        <f t="shared" si="4"/>
        <v>-44675.124090000056</v>
      </c>
      <c r="BI100" s="106">
        <f t="shared" si="5"/>
        <v>-108650.87590999994</v>
      </c>
    </row>
    <row r="101" spans="2:61">
      <c r="B101" s="89" t="s">
        <v>340</v>
      </c>
      <c r="C101" s="90">
        <f>'[1]LEA - Summary GASB75'!H101</f>
        <v>10428633</v>
      </c>
      <c r="D101" s="91">
        <f t="shared" si="3"/>
        <v>3498879.3719310001</v>
      </c>
      <c r="E101" s="92">
        <v>10569718</v>
      </c>
      <c r="F101" s="93">
        <v>3546212</v>
      </c>
      <c r="G101" s="94">
        <v>0.335507</v>
      </c>
      <c r="H101" s="94">
        <v>0.664493</v>
      </c>
      <c r="I101" s="100">
        <v>10569718</v>
      </c>
      <c r="J101" s="101">
        <v>3546214</v>
      </c>
      <c r="K101" s="102">
        <v>7023504</v>
      </c>
      <c r="L101" s="100">
        <v>911739</v>
      </c>
      <c r="M101" s="101">
        <v>305895</v>
      </c>
      <c r="N101" s="101">
        <v>605844</v>
      </c>
      <c r="O101" s="100">
        <v>0</v>
      </c>
      <c r="P101" s="101">
        <v>0</v>
      </c>
      <c r="Q101" s="101">
        <v>0</v>
      </c>
      <c r="R101" s="100">
        <v>0</v>
      </c>
      <c r="S101" s="101">
        <v>0</v>
      </c>
      <c r="T101" s="101">
        <v>0</v>
      </c>
      <c r="U101" s="100">
        <v>0</v>
      </c>
      <c r="V101" s="101">
        <v>0</v>
      </c>
      <c r="W101" s="101">
        <v>0</v>
      </c>
      <c r="X101" s="100">
        <v>456422</v>
      </c>
      <c r="Y101" s="101">
        <v>153133</v>
      </c>
      <c r="Z101" s="101">
        <v>303289</v>
      </c>
      <c r="AA101" s="107">
        <v>-49611</v>
      </c>
      <c r="AB101" s="98">
        <v>-49611</v>
      </c>
      <c r="AC101" s="98">
        <v>-49611</v>
      </c>
      <c r="AD101" s="98">
        <v>-49611</v>
      </c>
      <c r="AE101" s="98">
        <v>-49611</v>
      </c>
      <c r="AF101" s="99">
        <v>-208367</v>
      </c>
      <c r="AG101" s="107">
        <v>-16644.837777000001</v>
      </c>
      <c r="AH101" s="98">
        <v>-16644.837777000001</v>
      </c>
      <c r="AI101" s="98">
        <v>-16644.837777000001</v>
      </c>
      <c r="AJ101" s="98">
        <v>-16644.837777000001</v>
      </c>
      <c r="AK101" s="98">
        <v>-16644.837777000001</v>
      </c>
      <c r="AL101" s="99">
        <v>-69908.587069000001</v>
      </c>
      <c r="AM101" s="107">
        <v>-32966.162222999999</v>
      </c>
      <c r="AN101" s="98">
        <v>-32966.162222999999</v>
      </c>
      <c r="AO101" s="98">
        <v>-32966.162222999999</v>
      </c>
      <c r="AP101" s="98">
        <v>-32966.162222999999</v>
      </c>
      <c r="AQ101" s="98">
        <v>-32966.162222999999</v>
      </c>
      <c r="AR101" s="99">
        <v>-138458.412931</v>
      </c>
      <c r="AS101" s="100">
        <v>-366829</v>
      </c>
      <c r="AT101" s="101">
        <v>-103313</v>
      </c>
      <c r="AU101" s="102">
        <v>-263516</v>
      </c>
      <c r="AV101" s="103">
        <v>11367040</v>
      </c>
      <c r="AW101" s="104">
        <v>9806735</v>
      </c>
      <c r="AX101" s="104">
        <v>9314388</v>
      </c>
      <c r="AY101" s="105">
        <v>12055575</v>
      </c>
      <c r="AZ101" s="103">
        <v>3813721</v>
      </c>
      <c r="BA101" s="104">
        <v>3290228</v>
      </c>
      <c r="BB101" s="104">
        <v>3125042</v>
      </c>
      <c r="BC101" s="105">
        <v>4044730</v>
      </c>
      <c r="BD101" s="103">
        <v>7553319</v>
      </c>
      <c r="BE101" s="104">
        <v>6516507</v>
      </c>
      <c r="BF101" s="104">
        <v>6189346</v>
      </c>
      <c r="BG101" s="105">
        <v>8010845</v>
      </c>
      <c r="BH101" s="64">
        <f t="shared" si="4"/>
        <v>47332.628068999853</v>
      </c>
      <c r="BI101" s="106">
        <f t="shared" si="5"/>
        <v>93752.371930999681</v>
      </c>
    </row>
    <row r="102" spans="2:61">
      <c r="B102" s="89" t="s">
        <v>341</v>
      </c>
      <c r="C102" s="90">
        <f>'[1]LEA - Summary GASB75'!H102</f>
        <v>1895608</v>
      </c>
      <c r="D102" s="91">
        <f t="shared" si="3"/>
        <v>652987.67019199999</v>
      </c>
      <c r="E102" s="92">
        <v>1826314</v>
      </c>
      <c r="F102" s="93">
        <v>629118</v>
      </c>
      <c r="G102" s="94">
        <v>0.344474</v>
      </c>
      <c r="H102" s="94">
        <v>0.65552600000000005</v>
      </c>
      <c r="I102" s="100">
        <v>1826314</v>
      </c>
      <c r="J102" s="101">
        <v>629118</v>
      </c>
      <c r="K102" s="102">
        <v>1197196</v>
      </c>
      <c r="L102" s="100">
        <v>146562</v>
      </c>
      <c r="M102" s="101">
        <v>50487</v>
      </c>
      <c r="N102" s="101">
        <v>96075</v>
      </c>
      <c r="O102" s="100">
        <v>0</v>
      </c>
      <c r="P102" s="101">
        <v>0</v>
      </c>
      <c r="Q102" s="101">
        <v>0</v>
      </c>
      <c r="R102" s="100">
        <v>0</v>
      </c>
      <c r="S102" s="101">
        <v>0</v>
      </c>
      <c r="T102" s="101">
        <v>0</v>
      </c>
      <c r="U102" s="100">
        <v>0</v>
      </c>
      <c r="V102" s="101">
        <v>0</v>
      </c>
      <c r="W102" s="101">
        <v>0</v>
      </c>
      <c r="X102" s="100">
        <v>83142</v>
      </c>
      <c r="Y102" s="101">
        <v>28640</v>
      </c>
      <c r="Z102" s="101">
        <v>54502</v>
      </c>
      <c r="AA102" s="107">
        <v>-9238</v>
      </c>
      <c r="AB102" s="98">
        <v>-9238</v>
      </c>
      <c r="AC102" s="98">
        <v>-9238</v>
      </c>
      <c r="AD102" s="98">
        <v>-9238</v>
      </c>
      <c r="AE102" s="98">
        <v>-9238</v>
      </c>
      <c r="AF102" s="99">
        <v>-36952</v>
      </c>
      <c r="AG102" s="107">
        <v>-3182.2508120000002</v>
      </c>
      <c r="AH102" s="98">
        <v>-3182.2508120000002</v>
      </c>
      <c r="AI102" s="98">
        <v>-3182.2508120000002</v>
      </c>
      <c r="AJ102" s="98">
        <v>-3182.2508120000002</v>
      </c>
      <c r="AK102" s="98">
        <v>-3182.2508120000002</v>
      </c>
      <c r="AL102" s="99">
        <v>-12729.003248000001</v>
      </c>
      <c r="AM102" s="107">
        <v>-6055.7491879999998</v>
      </c>
      <c r="AN102" s="98">
        <v>-6055.7491879999998</v>
      </c>
      <c r="AO102" s="98">
        <v>-6055.7491879999998</v>
      </c>
      <c r="AP102" s="98">
        <v>-6055.7491879999998</v>
      </c>
      <c r="AQ102" s="98">
        <v>-6055.7491879999998</v>
      </c>
      <c r="AR102" s="99">
        <v>-24222.996751999999</v>
      </c>
      <c r="AS102" s="100">
        <v>-117546</v>
      </c>
      <c r="AT102" s="101">
        <v>-34674</v>
      </c>
      <c r="AU102" s="102">
        <v>-82872</v>
      </c>
      <c r="AV102" s="103">
        <v>1971722</v>
      </c>
      <c r="AW102" s="104">
        <v>1688397</v>
      </c>
      <c r="AX102" s="104">
        <v>1604427</v>
      </c>
      <c r="AY102" s="105">
        <v>2092072</v>
      </c>
      <c r="AZ102" s="103">
        <v>679207</v>
      </c>
      <c r="BA102" s="104">
        <v>581609</v>
      </c>
      <c r="BB102" s="104">
        <v>552683</v>
      </c>
      <c r="BC102" s="105">
        <v>720664</v>
      </c>
      <c r="BD102" s="103">
        <v>1292515</v>
      </c>
      <c r="BE102" s="104">
        <v>1106788</v>
      </c>
      <c r="BF102" s="104">
        <v>1051744</v>
      </c>
      <c r="BG102" s="105">
        <v>1371408</v>
      </c>
      <c r="BH102" s="64">
        <f t="shared" si="4"/>
        <v>-23869.67019199999</v>
      </c>
      <c r="BI102" s="106">
        <f t="shared" si="5"/>
        <v>-45424.32980800001</v>
      </c>
    </row>
    <row r="103" spans="2:61">
      <c r="B103" s="89" t="s">
        <v>342</v>
      </c>
      <c r="C103" s="90">
        <f>'[1]LEA - Summary GASB75'!H103</f>
        <v>3828329</v>
      </c>
      <c r="D103" s="91">
        <f t="shared" si="3"/>
        <v>1387612.3010109998</v>
      </c>
      <c r="E103" s="92">
        <v>3859090</v>
      </c>
      <c r="F103" s="93">
        <v>1398760</v>
      </c>
      <c r="G103" s="94">
        <v>0.36245899999999998</v>
      </c>
      <c r="H103" s="94">
        <v>0.63754100000000002</v>
      </c>
      <c r="I103" s="100">
        <v>3859090</v>
      </c>
      <c r="J103" s="101">
        <v>1398762</v>
      </c>
      <c r="K103" s="102">
        <v>2460328</v>
      </c>
      <c r="L103" s="100">
        <v>338640</v>
      </c>
      <c r="M103" s="101">
        <v>122743</v>
      </c>
      <c r="N103" s="101">
        <v>215897</v>
      </c>
      <c r="O103" s="100">
        <v>0</v>
      </c>
      <c r="P103" s="101">
        <v>0</v>
      </c>
      <c r="Q103" s="101">
        <v>0</v>
      </c>
      <c r="R103" s="100">
        <v>0</v>
      </c>
      <c r="S103" s="101">
        <v>0</v>
      </c>
      <c r="T103" s="101">
        <v>0</v>
      </c>
      <c r="U103" s="100">
        <v>0</v>
      </c>
      <c r="V103" s="101">
        <v>0</v>
      </c>
      <c r="W103" s="101">
        <v>0</v>
      </c>
      <c r="X103" s="100">
        <v>168263</v>
      </c>
      <c r="Y103" s="101">
        <v>60988</v>
      </c>
      <c r="Z103" s="101">
        <v>107275</v>
      </c>
      <c r="AA103" s="107">
        <v>-17712</v>
      </c>
      <c r="AB103" s="98">
        <v>-17712</v>
      </c>
      <c r="AC103" s="98">
        <v>-17712</v>
      </c>
      <c r="AD103" s="98">
        <v>-17712</v>
      </c>
      <c r="AE103" s="98">
        <v>-17712</v>
      </c>
      <c r="AF103" s="99">
        <v>-79703</v>
      </c>
      <c r="AG103" s="107">
        <v>-6419.8738079999994</v>
      </c>
      <c r="AH103" s="98">
        <v>-6419.8738079999994</v>
      </c>
      <c r="AI103" s="98">
        <v>-6419.8738079999994</v>
      </c>
      <c r="AJ103" s="98">
        <v>-6419.8738079999994</v>
      </c>
      <c r="AK103" s="98">
        <v>-6419.8738079999994</v>
      </c>
      <c r="AL103" s="99">
        <v>-28889.069677</v>
      </c>
      <c r="AM103" s="107">
        <v>-11292.126192</v>
      </c>
      <c r="AN103" s="98">
        <v>-11292.126192</v>
      </c>
      <c r="AO103" s="98">
        <v>-11292.126192</v>
      </c>
      <c r="AP103" s="98">
        <v>-11292.126192</v>
      </c>
      <c r="AQ103" s="98">
        <v>-11292.126192</v>
      </c>
      <c r="AR103" s="99">
        <v>-50813.930323</v>
      </c>
      <c r="AS103" s="100">
        <v>-157822</v>
      </c>
      <c r="AT103" s="101">
        <v>-56242</v>
      </c>
      <c r="AU103" s="102">
        <v>-101580</v>
      </c>
      <c r="AV103" s="103">
        <v>4151587</v>
      </c>
      <c r="AW103" s="104">
        <v>3579206</v>
      </c>
      <c r="AX103" s="104">
        <v>3392634</v>
      </c>
      <c r="AY103" s="105">
        <v>4412150</v>
      </c>
      <c r="AZ103" s="103">
        <v>1504780</v>
      </c>
      <c r="BA103" s="104">
        <v>1297315</v>
      </c>
      <c r="BB103" s="104">
        <v>1229691</v>
      </c>
      <c r="BC103" s="105">
        <v>1599223</v>
      </c>
      <c r="BD103" s="103">
        <v>2646807</v>
      </c>
      <c r="BE103" s="104">
        <v>2281891</v>
      </c>
      <c r="BF103" s="104">
        <v>2162943</v>
      </c>
      <c r="BG103" s="105">
        <v>2812927</v>
      </c>
      <c r="BH103" s="64">
        <f t="shared" si="4"/>
        <v>11147.698989000171</v>
      </c>
      <c r="BI103" s="106">
        <f t="shared" si="5"/>
        <v>19613.301010999829</v>
      </c>
    </row>
    <row r="104" spans="2:61">
      <c r="B104" s="89" t="s">
        <v>343</v>
      </c>
      <c r="C104" s="90">
        <f>'[1]LEA - Summary GASB75'!H104</f>
        <v>0</v>
      </c>
      <c r="D104" s="91">
        <f t="shared" si="3"/>
        <v>0</v>
      </c>
      <c r="E104" s="92">
        <v>0</v>
      </c>
      <c r="F104" s="93">
        <v>0</v>
      </c>
      <c r="G104" s="94">
        <v>0</v>
      </c>
      <c r="H104" s="94">
        <v>1</v>
      </c>
      <c r="I104" s="100">
        <v>0</v>
      </c>
      <c r="J104" s="101">
        <v>0</v>
      </c>
      <c r="K104" s="102">
        <v>0</v>
      </c>
      <c r="L104" s="100">
        <v>0</v>
      </c>
      <c r="M104" s="101">
        <v>0</v>
      </c>
      <c r="N104" s="101">
        <v>0</v>
      </c>
      <c r="O104" s="100">
        <v>0</v>
      </c>
      <c r="P104" s="101">
        <v>0</v>
      </c>
      <c r="Q104" s="101">
        <v>0</v>
      </c>
      <c r="R104" s="100">
        <v>0</v>
      </c>
      <c r="S104" s="101">
        <v>0</v>
      </c>
      <c r="T104" s="101">
        <v>0</v>
      </c>
      <c r="U104" s="100">
        <v>0</v>
      </c>
      <c r="V104" s="101">
        <v>0</v>
      </c>
      <c r="W104" s="101">
        <v>0</v>
      </c>
      <c r="X104" s="100">
        <v>0</v>
      </c>
      <c r="Y104" s="101">
        <v>0</v>
      </c>
      <c r="Z104" s="101">
        <v>0</v>
      </c>
      <c r="AA104" s="107">
        <v>0</v>
      </c>
      <c r="AB104" s="98">
        <v>0</v>
      </c>
      <c r="AC104" s="98">
        <v>0</v>
      </c>
      <c r="AD104" s="98">
        <v>0</v>
      </c>
      <c r="AE104" s="98">
        <v>0</v>
      </c>
      <c r="AF104" s="99">
        <v>0</v>
      </c>
      <c r="AG104" s="107">
        <v>0</v>
      </c>
      <c r="AH104" s="98">
        <v>0</v>
      </c>
      <c r="AI104" s="98">
        <v>0</v>
      </c>
      <c r="AJ104" s="98">
        <v>0</v>
      </c>
      <c r="AK104" s="98">
        <v>0</v>
      </c>
      <c r="AL104" s="99">
        <v>0</v>
      </c>
      <c r="AM104" s="107">
        <v>0</v>
      </c>
      <c r="AN104" s="98">
        <v>0</v>
      </c>
      <c r="AO104" s="98">
        <v>0</v>
      </c>
      <c r="AP104" s="98">
        <v>0</v>
      </c>
      <c r="AQ104" s="98">
        <v>0</v>
      </c>
      <c r="AR104" s="99">
        <v>0</v>
      </c>
      <c r="AS104" s="100">
        <v>0</v>
      </c>
      <c r="AT104" s="101">
        <v>0</v>
      </c>
      <c r="AU104" s="102">
        <v>0</v>
      </c>
      <c r="AV104" s="103">
        <v>0</v>
      </c>
      <c r="AW104" s="104">
        <v>0</v>
      </c>
      <c r="AX104" s="104">
        <v>0</v>
      </c>
      <c r="AY104" s="105">
        <v>0</v>
      </c>
      <c r="AZ104" s="103">
        <v>0</v>
      </c>
      <c r="BA104" s="104">
        <v>0</v>
      </c>
      <c r="BB104" s="104">
        <v>0</v>
      </c>
      <c r="BC104" s="105">
        <v>0</v>
      </c>
      <c r="BD104" s="103">
        <v>0</v>
      </c>
      <c r="BE104" s="104">
        <v>0</v>
      </c>
      <c r="BF104" s="104">
        <v>0</v>
      </c>
      <c r="BG104" s="105">
        <v>0</v>
      </c>
      <c r="BH104" s="64">
        <f t="shared" si="4"/>
        <v>0</v>
      </c>
      <c r="BI104" s="106">
        <f t="shared" si="5"/>
        <v>0</v>
      </c>
    </row>
    <row r="105" spans="2:61">
      <c r="B105" s="89" t="s">
        <v>344</v>
      </c>
      <c r="C105" s="90">
        <f>'[1]LEA - Summary GASB75'!H105</f>
        <v>0</v>
      </c>
      <c r="D105" s="91">
        <f t="shared" si="3"/>
        <v>0</v>
      </c>
      <c r="E105" s="92">
        <v>0</v>
      </c>
      <c r="F105" s="93">
        <v>0</v>
      </c>
      <c r="G105" s="94">
        <v>0</v>
      </c>
      <c r="H105" s="94">
        <v>1</v>
      </c>
      <c r="I105" s="100">
        <v>0</v>
      </c>
      <c r="J105" s="101">
        <v>0</v>
      </c>
      <c r="K105" s="102">
        <v>0</v>
      </c>
      <c r="L105" s="100">
        <v>0</v>
      </c>
      <c r="M105" s="101">
        <v>0</v>
      </c>
      <c r="N105" s="101">
        <v>0</v>
      </c>
      <c r="O105" s="100">
        <v>0</v>
      </c>
      <c r="P105" s="101">
        <v>0</v>
      </c>
      <c r="Q105" s="101">
        <v>0</v>
      </c>
      <c r="R105" s="100">
        <v>0</v>
      </c>
      <c r="S105" s="101">
        <v>0</v>
      </c>
      <c r="T105" s="101">
        <v>0</v>
      </c>
      <c r="U105" s="100">
        <v>0</v>
      </c>
      <c r="V105" s="101">
        <v>0</v>
      </c>
      <c r="W105" s="101">
        <v>0</v>
      </c>
      <c r="X105" s="100">
        <v>0</v>
      </c>
      <c r="Y105" s="101">
        <v>0</v>
      </c>
      <c r="Z105" s="101">
        <v>0</v>
      </c>
      <c r="AA105" s="107">
        <v>0</v>
      </c>
      <c r="AB105" s="98">
        <v>0</v>
      </c>
      <c r="AC105" s="98">
        <v>0</v>
      </c>
      <c r="AD105" s="98">
        <v>0</v>
      </c>
      <c r="AE105" s="98">
        <v>0</v>
      </c>
      <c r="AF105" s="99">
        <v>0</v>
      </c>
      <c r="AG105" s="107">
        <v>0</v>
      </c>
      <c r="AH105" s="98">
        <v>0</v>
      </c>
      <c r="AI105" s="98">
        <v>0</v>
      </c>
      <c r="AJ105" s="98">
        <v>0</v>
      </c>
      <c r="AK105" s="98">
        <v>0</v>
      </c>
      <c r="AL105" s="99">
        <v>0</v>
      </c>
      <c r="AM105" s="107">
        <v>0</v>
      </c>
      <c r="AN105" s="98">
        <v>0</v>
      </c>
      <c r="AO105" s="98">
        <v>0</v>
      </c>
      <c r="AP105" s="98">
        <v>0</v>
      </c>
      <c r="AQ105" s="98">
        <v>0</v>
      </c>
      <c r="AR105" s="99">
        <v>0</v>
      </c>
      <c r="AS105" s="100">
        <v>0</v>
      </c>
      <c r="AT105" s="101">
        <v>0</v>
      </c>
      <c r="AU105" s="102">
        <v>0</v>
      </c>
      <c r="AV105" s="103">
        <v>0</v>
      </c>
      <c r="AW105" s="104">
        <v>0</v>
      </c>
      <c r="AX105" s="104">
        <v>0</v>
      </c>
      <c r="AY105" s="105">
        <v>0</v>
      </c>
      <c r="AZ105" s="103">
        <v>0</v>
      </c>
      <c r="BA105" s="104">
        <v>0</v>
      </c>
      <c r="BB105" s="104">
        <v>0</v>
      </c>
      <c r="BC105" s="105">
        <v>0</v>
      </c>
      <c r="BD105" s="103">
        <v>0</v>
      </c>
      <c r="BE105" s="104">
        <v>0</v>
      </c>
      <c r="BF105" s="104">
        <v>0</v>
      </c>
      <c r="BG105" s="105">
        <v>0</v>
      </c>
      <c r="BH105" s="64">
        <f t="shared" si="4"/>
        <v>0</v>
      </c>
      <c r="BI105" s="106">
        <f t="shared" si="5"/>
        <v>0</v>
      </c>
    </row>
    <row r="106" spans="2:61">
      <c r="B106" s="89" t="s">
        <v>345</v>
      </c>
      <c r="C106" s="90">
        <f>'[1]LEA - Summary GASB75'!H106</f>
        <v>0</v>
      </c>
      <c r="D106" s="91">
        <f t="shared" si="3"/>
        <v>0</v>
      </c>
      <c r="E106" s="92">
        <v>0</v>
      </c>
      <c r="F106" s="93">
        <v>0</v>
      </c>
      <c r="G106" s="94">
        <v>0</v>
      </c>
      <c r="H106" s="94">
        <v>1</v>
      </c>
      <c r="I106" s="100">
        <v>0</v>
      </c>
      <c r="J106" s="101">
        <v>0</v>
      </c>
      <c r="K106" s="102">
        <v>0</v>
      </c>
      <c r="L106" s="100">
        <v>0</v>
      </c>
      <c r="M106" s="101">
        <v>0</v>
      </c>
      <c r="N106" s="101">
        <v>0</v>
      </c>
      <c r="O106" s="100">
        <v>0</v>
      </c>
      <c r="P106" s="101">
        <v>0</v>
      </c>
      <c r="Q106" s="101">
        <v>0</v>
      </c>
      <c r="R106" s="100">
        <v>0</v>
      </c>
      <c r="S106" s="101">
        <v>0</v>
      </c>
      <c r="T106" s="101">
        <v>0</v>
      </c>
      <c r="U106" s="100">
        <v>0</v>
      </c>
      <c r="V106" s="101">
        <v>0</v>
      </c>
      <c r="W106" s="101">
        <v>0</v>
      </c>
      <c r="X106" s="100">
        <v>0</v>
      </c>
      <c r="Y106" s="101">
        <v>0</v>
      </c>
      <c r="Z106" s="101">
        <v>0</v>
      </c>
      <c r="AA106" s="107">
        <v>0</v>
      </c>
      <c r="AB106" s="98">
        <v>0</v>
      </c>
      <c r="AC106" s="98">
        <v>0</v>
      </c>
      <c r="AD106" s="98">
        <v>0</v>
      </c>
      <c r="AE106" s="98">
        <v>0</v>
      </c>
      <c r="AF106" s="99">
        <v>0</v>
      </c>
      <c r="AG106" s="107">
        <v>0</v>
      </c>
      <c r="AH106" s="98">
        <v>0</v>
      </c>
      <c r="AI106" s="98">
        <v>0</v>
      </c>
      <c r="AJ106" s="98">
        <v>0</v>
      </c>
      <c r="AK106" s="98">
        <v>0</v>
      </c>
      <c r="AL106" s="99">
        <v>0</v>
      </c>
      <c r="AM106" s="107">
        <v>0</v>
      </c>
      <c r="AN106" s="98">
        <v>0</v>
      </c>
      <c r="AO106" s="98">
        <v>0</v>
      </c>
      <c r="AP106" s="98">
        <v>0</v>
      </c>
      <c r="AQ106" s="98">
        <v>0</v>
      </c>
      <c r="AR106" s="99">
        <v>0</v>
      </c>
      <c r="AS106" s="100">
        <v>0</v>
      </c>
      <c r="AT106" s="101">
        <v>0</v>
      </c>
      <c r="AU106" s="102">
        <v>0</v>
      </c>
      <c r="AV106" s="103">
        <v>0</v>
      </c>
      <c r="AW106" s="104">
        <v>0</v>
      </c>
      <c r="AX106" s="104">
        <v>0</v>
      </c>
      <c r="AY106" s="105">
        <v>0</v>
      </c>
      <c r="AZ106" s="103">
        <v>0</v>
      </c>
      <c r="BA106" s="104">
        <v>0</v>
      </c>
      <c r="BB106" s="104">
        <v>0</v>
      </c>
      <c r="BC106" s="105">
        <v>0</v>
      </c>
      <c r="BD106" s="103">
        <v>0</v>
      </c>
      <c r="BE106" s="104">
        <v>0</v>
      </c>
      <c r="BF106" s="104">
        <v>0</v>
      </c>
      <c r="BG106" s="105">
        <v>0</v>
      </c>
      <c r="BH106" s="64">
        <f t="shared" si="4"/>
        <v>0</v>
      </c>
      <c r="BI106" s="106">
        <f t="shared" si="5"/>
        <v>0</v>
      </c>
    </row>
    <row r="107" spans="2:61">
      <c r="B107" s="89" t="s">
        <v>346</v>
      </c>
      <c r="C107" s="90">
        <f>'[1]LEA - Summary GASB75'!H107</f>
        <v>7974523</v>
      </c>
      <c r="D107" s="91">
        <f t="shared" si="3"/>
        <v>2747159.3773159999</v>
      </c>
      <c r="E107" s="92">
        <v>7937113</v>
      </c>
      <c r="F107" s="93">
        <v>2734273</v>
      </c>
      <c r="G107" s="94">
        <v>0.34449200000000002</v>
      </c>
      <c r="H107" s="94">
        <v>0.65550799999999998</v>
      </c>
      <c r="I107" s="100">
        <v>7937113</v>
      </c>
      <c r="J107" s="101">
        <v>2734272</v>
      </c>
      <c r="K107" s="102">
        <v>5202841</v>
      </c>
      <c r="L107" s="100">
        <v>706790</v>
      </c>
      <c r="M107" s="101">
        <v>243484</v>
      </c>
      <c r="N107" s="101">
        <v>463306</v>
      </c>
      <c r="O107" s="100">
        <v>0</v>
      </c>
      <c r="P107" s="101">
        <v>0</v>
      </c>
      <c r="Q107" s="101">
        <v>0</v>
      </c>
      <c r="R107" s="100">
        <v>0</v>
      </c>
      <c r="S107" s="101">
        <v>0</v>
      </c>
      <c r="T107" s="101">
        <v>0</v>
      </c>
      <c r="U107" s="100">
        <v>0</v>
      </c>
      <c r="V107" s="101">
        <v>0</v>
      </c>
      <c r="W107" s="101">
        <v>0</v>
      </c>
      <c r="X107" s="100">
        <v>375441</v>
      </c>
      <c r="Y107" s="101">
        <v>129336</v>
      </c>
      <c r="Z107" s="101">
        <v>246105</v>
      </c>
      <c r="AA107" s="107">
        <v>-36100</v>
      </c>
      <c r="AB107" s="98">
        <v>-36100</v>
      </c>
      <c r="AC107" s="98">
        <v>-36100</v>
      </c>
      <c r="AD107" s="98">
        <v>-36100</v>
      </c>
      <c r="AE107" s="98">
        <v>-36100</v>
      </c>
      <c r="AF107" s="99">
        <v>-194941</v>
      </c>
      <c r="AG107" s="107">
        <v>-12436.1612</v>
      </c>
      <c r="AH107" s="98">
        <v>-12436.1612</v>
      </c>
      <c r="AI107" s="98">
        <v>-12436.1612</v>
      </c>
      <c r="AJ107" s="98">
        <v>-12436.1612</v>
      </c>
      <c r="AK107" s="98">
        <v>-12436.1612</v>
      </c>
      <c r="AL107" s="99">
        <v>-67155.61497200001</v>
      </c>
      <c r="AM107" s="107">
        <v>-23663.838799999998</v>
      </c>
      <c r="AN107" s="98">
        <v>-23663.838799999998</v>
      </c>
      <c r="AO107" s="98">
        <v>-23663.838799999998</v>
      </c>
      <c r="AP107" s="98">
        <v>-23663.838799999998</v>
      </c>
      <c r="AQ107" s="98">
        <v>-23663.838799999998</v>
      </c>
      <c r="AR107" s="99">
        <v>-127785.38502799999</v>
      </c>
      <c r="AS107" s="100">
        <v>-391196</v>
      </c>
      <c r="AT107" s="101">
        <v>-130450</v>
      </c>
      <c r="AU107" s="102">
        <v>-260746</v>
      </c>
      <c r="AV107" s="103">
        <v>8586110</v>
      </c>
      <c r="AW107" s="104">
        <v>7322624</v>
      </c>
      <c r="AX107" s="104">
        <v>6942642</v>
      </c>
      <c r="AY107" s="105">
        <v>9128645</v>
      </c>
      <c r="AZ107" s="103">
        <v>2957846</v>
      </c>
      <c r="BA107" s="104">
        <v>2522585</v>
      </c>
      <c r="BB107" s="104">
        <v>2391685</v>
      </c>
      <c r="BC107" s="105">
        <v>3144745</v>
      </c>
      <c r="BD107" s="103">
        <v>5628264</v>
      </c>
      <c r="BE107" s="104">
        <v>4800039</v>
      </c>
      <c r="BF107" s="104">
        <v>4550957</v>
      </c>
      <c r="BG107" s="105">
        <v>5983900</v>
      </c>
      <c r="BH107" s="64">
        <f t="shared" si="4"/>
        <v>-12886.37731599994</v>
      </c>
      <c r="BI107" s="106">
        <f t="shared" si="5"/>
        <v>-24523.62268400006</v>
      </c>
    </row>
    <row r="108" spans="2:61">
      <c r="B108" s="89" t="s">
        <v>347</v>
      </c>
      <c r="C108" s="90">
        <f>'[1]LEA - Summary GASB75'!H108</f>
        <v>1222721</v>
      </c>
      <c r="D108" s="91">
        <f t="shared" si="3"/>
        <v>424153.35585300002</v>
      </c>
      <c r="E108" s="92">
        <v>1196488</v>
      </c>
      <c r="F108" s="93">
        <v>415053</v>
      </c>
      <c r="G108" s="94">
        <v>0.34689300000000001</v>
      </c>
      <c r="H108" s="94">
        <v>0.65310699999999999</v>
      </c>
      <c r="I108" s="100">
        <v>1196488</v>
      </c>
      <c r="J108" s="101">
        <v>415053</v>
      </c>
      <c r="K108" s="102">
        <v>781435</v>
      </c>
      <c r="L108" s="100">
        <v>91348</v>
      </c>
      <c r="M108" s="101">
        <v>31688</v>
      </c>
      <c r="N108" s="101">
        <v>59660</v>
      </c>
      <c r="O108" s="100">
        <v>0</v>
      </c>
      <c r="P108" s="101">
        <v>0</v>
      </c>
      <c r="Q108" s="101">
        <v>0</v>
      </c>
      <c r="R108" s="100">
        <v>0</v>
      </c>
      <c r="S108" s="101">
        <v>0</v>
      </c>
      <c r="T108" s="101">
        <v>0</v>
      </c>
      <c r="U108" s="100">
        <v>0</v>
      </c>
      <c r="V108" s="101">
        <v>0</v>
      </c>
      <c r="W108" s="101">
        <v>0</v>
      </c>
      <c r="X108" s="100">
        <v>45398</v>
      </c>
      <c r="Y108" s="101">
        <v>15748</v>
      </c>
      <c r="Z108" s="101">
        <v>29650</v>
      </c>
      <c r="AA108" s="107">
        <v>-5341</v>
      </c>
      <c r="AB108" s="98">
        <v>-5341</v>
      </c>
      <c r="AC108" s="98">
        <v>-5341</v>
      </c>
      <c r="AD108" s="98">
        <v>-5341</v>
      </c>
      <c r="AE108" s="98">
        <v>-5341</v>
      </c>
      <c r="AF108" s="99">
        <v>-18693</v>
      </c>
      <c r="AG108" s="107">
        <v>-1852.7555130000001</v>
      </c>
      <c r="AH108" s="98">
        <v>-1852.7555130000001</v>
      </c>
      <c r="AI108" s="98">
        <v>-1852.7555130000001</v>
      </c>
      <c r="AJ108" s="98">
        <v>-1852.7555130000001</v>
      </c>
      <c r="AK108" s="98">
        <v>-1852.7555130000001</v>
      </c>
      <c r="AL108" s="99">
        <v>-6484.4708490000003</v>
      </c>
      <c r="AM108" s="107">
        <v>-3488.2444869999999</v>
      </c>
      <c r="AN108" s="98">
        <v>-3488.2444869999999</v>
      </c>
      <c r="AO108" s="98">
        <v>-3488.2444869999999</v>
      </c>
      <c r="AP108" s="98">
        <v>-3488.2444869999999</v>
      </c>
      <c r="AQ108" s="98">
        <v>-3488.2444869999999</v>
      </c>
      <c r="AR108" s="99">
        <v>-12208.529150999999</v>
      </c>
      <c r="AS108" s="100">
        <v>-76780</v>
      </c>
      <c r="AT108" s="101">
        <v>-27473</v>
      </c>
      <c r="AU108" s="102">
        <v>-49307</v>
      </c>
      <c r="AV108" s="103">
        <v>1276283</v>
      </c>
      <c r="AW108" s="104">
        <v>1119879</v>
      </c>
      <c r="AX108" s="104">
        <v>1073415</v>
      </c>
      <c r="AY108" s="105">
        <v>1341332</v>
      </c>
      <c r="AZ108" s="103">
        <v>442734</v>
      </c>
      <c r="BA108" s="104">
        <v>388478</v>
      </c>
      <c r="BB108" s="104">
        <v>372360</v>
      </c>
      <c r="BC108" s="105">
        <v>465299</v>
      </c>
      <c r="BD108" s="103">
        <v>833549</v>
      </c>
      <c r="BE108" s="104">
        <v>731401</v>
      </c>
      <c r="BF108" s="104">
        <v>701055</v>
      </c>
      <c r="BG108" s="105">
        <v>876033</v>
      </c>
      <c r="BH108" s="64">
        <f t="shared" si="4"/>
        <v>-9100.3558530000155</v>
      </c>
      <c r="BI108" s="106">
        <f t="shared" si="5"/>
        <v>-17132.644147000043</v>
      </c>
    </row>
    <row r="109" spans="2:61">
      <c r="B109" s="89" t="s">
        <v>348</v>
      </c>
      <c r="C109" s="90">
        <f>'[1]LEA - Summary GASB75'!H109</f>
        <v>10643068</v>
      </c>
      <c r="D109" s="91">
        <f t="shared" si="3"/>
        <v>2968745.458716</v>
      </c>
      <c r="E109" s="92">
        <v>10674873</v>
      </c>
      <c r="F109" s="93">
        <v>2977619</v>
      </c>
      <c r="G109" s="94">
        <v>0.27893699999999999</v>
      </c>
      <c r="H109" s="94">
        <v>0.72106300000000001</v>
      </c>
      <c r="I109" s="100">
        <v>10674873</v>
      </c>
      <c r="J109" s="101">
        <v>2977617</v>
      </c>
      <c r="K109" s="102">
        <v>7697256</v>
      </c>
      <c r="L109" s="100">
        <v>895680</v>
      </c>
      <c r="M109" s="101">
        <v>249838</v>
      </c>
      <c r="N109" s="101">
        <v>645842</v>
      </c>
      <c r="O109" s="100">
        <v>0</v>
      </c>
      <c r="P109" s="101">
        <v>0</v>
      </c>
      <c r="Q109" s="101">
        <v>0</v>
      </c>
      <c r="R109" s="100">
        <v>0</v>
      </c>
      <c r="S109" s="101">
        <v>0</v>
      </c>
      <c r="T109" s="101">
        <v>0</v>
      </c>
      <c r="U109" s="100">
        <v>0</v>
      </c>
      <c r="V109" s="101">
        <v>0</v>
      </c>
      <c r="W109" s="101">
        <v>0</v>
      </c>
      <c r="X109" s="100">
        <v>439641</v>
      </c>
      <c r="Y109" s="101">
        <v>122632</v>
      </c>
      <c r="Z109" s="101">
        <v>317009</v>
      </c>
      <c r="AA109" s="107">
        <v>-50533</v>
      </c>
      <c r="AB109" s="98">
        <v>-50533</v>
      </c>
      <c r="AC109" s="98">
        <v>-50533</v>
      </c>
      <c r="AD109" s="98">
        <v>-50533</v>
      </c>
      <c r="AE109" s="98">
        <v>-50533</v>
      </c>
      <c r="AF109" s="99">
        <v>-186976</v>
      </c>
      <c r="AG109" s="107">
        <v>-14095.523421</v>
      </c>
      <c r="AH109" s="98">
        <v>-14095.523421</v>
      </c>
      <c r="AI109" s="98">
        <v>-14095.523421</v>
      </c>
      <c r="AJ109" s="98">
        <v>-14095.523421</v>
      </c>
      <c r="AK109" s="98">
        <v>-14095.523421</v>
      </c>
      <c r="AL109" s="99">
        <v>-52154.524511999996</v>
      </c>
      <c r="AM109" s="107">
        <v>-36437.476579000002</v>
      </c>
      <c r="AN109" s="98">
        <v>-36437.476579000002</v>
      </c>
      <c r="AO109" s="98">
        <v>-36437.476579000002</v>
      </c>
      <c r="AP109" s="98">
        <v>-36437.476579000002</v>
      </c>
      <c r="AQ109" s="98">
        <v>-36437.476579000002</v>
      </c>
      <c r="AR109" s="99">
        <v>-134821.475488</v>
      </c>
      <c r="AS109" s="100">
        <v>-485212</v>
      </c>
      <c r="AT109" s="101">
        <v>-119897</v>
      </c>
      <c r="AU109" s="102">
        <v>-365315</v>
      </c>
      <c r="AV109" s="103">
        <v>11446767</v>
      </c>
      <c r="AW109" s="104">
        <v>9938666</v>
      </c>
      <c r="AX109" s="104">
        <v>9490312</v>
      </c>
      <c r="AY109" s="105">
        <v>12063210</v>
      </c>
      <c r="AZ109" s="103">
        <v>3192927</v>
      </c>
      <c r="BA109" s="104">
        <v>2772262</v>
      </c>
      <c r="BB109" s="104">
        <v>2647199</v>
      </c>
      <c r="BC109" s="105">
        <v>3364876</v>
      </c>
      <c r="BD109" s="103">
        <v>8253840</v>
      </c>
      <c r="BE109" s="104">
        <v>7166404</v>
      </c>
      <c r="BF109" s="104">
        <v>6843113</v>
      </c>
      <c r="BG109" s="105">
        <v>8698334</v>
      </c>
      <c r="BH109" s="64">
        <f t="shared" si="4"/>
        <v>8873.5412840000354</v>
      </c>
      <c r="BI109" s="106">
        <f t="shared" si="5"/>
        <v>22931.458715999499</v>
      </c>
    </row>
    <row r="110" spans="2:61">
      <c r="B110" s="89" t="s">
        <v>349</v>
      </c>
      <c r="C110" s="90">
        <f>'[1]LEA - Summary GASB75'!H110</f>
        <v>4203252</v>
      </c>
      <c r="D110" s="91">
        <f t="shared" si="3"/>
        <v>1449861.3383760001</v>
      </c>
      <c r="E110" s="92">
        <v>4113084</v>
      </c>
      <c r="F110" s="93">
        <v>1418761</v>
      </c>
      <c r="G110" s="94">
        <v>0.34493800000000002</v>
      </c>
      <c r="H110" s="94">
        <v>0.65506200000000003</v>
      </c>
      <c r="I110" s="100">
        <v>4113084</v>
      </c>
      <c r="J110" s="101">
        <v>1418759</v>
      </c>
      <c r="K110" s="102">
        <v>2694325</v>
      </c>
      <c r="L110" s="100">
        <v>346399</v>
      </c>
      <c r="M110" s="101">
        <v>119486</v>
      </c>
      <c r="N110" s="101">
        <v>226913</v>
      </c>
      <c r="O110" s="100">
        <v>0</v>
      </c>
      <c r="P110" s="101">
        <v>0</v>
      </c>
      <c r="Q110" s="101">
        <v>0</v>
      </c>
      <c r="R110" s="100">
        <v>0</v>
      </c>
      <c r="S110" s="101">
        <v>0</v>
      </c>
      <c r="T110" s="101">
        <v>0</v>
      </c>
      <c r="U110" s="100">
        <v>0</v>
      </c>
      <c r="V110" s="101">
        <v>0</v>
      </c>
      <c r="W110" s="101">
        <v>0</v>
      </c>
      <c r="X110" s="100">
        <v>169934</v>
      </c>
      <c r="Y110" s="101">
        <v>58617</v>
      </c>
      <c r="Z110" s="101">
        <v>111317</v>
      </c>
      <c r="AA110" s="107">
        <v>-18471</v>
      </c>
      <c r="AB110" s="98">
        <v>-18471</v>
      </c>
      <c r="AC110" s="98">
        <v>-18471</v>
      </c>
      <c r="AD110" s="98">
        <v>-18471</v>
      </c>
      <c r="AE110" s="98">
        <v>-18471</v>
      </c>
      <c r="AF110" s="99">
        <v>-77579</v>
      </c>
      <c r="AG110" s="107">
        <v>-6371.3497980000002</v>
      </c>
      <c r="AH110" s="98">
        <v>-6371.3497980000002</v>
      </c>
      <c r="AI110" s="98">
        <v>-6371.3497980000002</v>
      </c>
      <c r="AJ110" s="98">
        <v>-6371.3497980000002</v>
      </c>
      <c r="AK110" s="98">
        <v>-6371.3497980000002</v>
      </c>
      <c r="AL110" s="99">
        <v>-26759.945102000001</v>
      </c>
      <c r="AM110" s="107">
        <v>-12099.650202000001</v>
      </c>
      <c r="AN110" s="98">
        <v>-12099.650202000001</v>
      </c>
      <c r="AO110" s="98">
        <v>-12099.650202000001</v>
      </c>
      <c r="AP110" s="98">
        <v>-12099.650202000001</v>
      </c>
      <c r="AQ110" s="98">
        <v>-12099.650202000001</v>
      </c>
      <c r="AR110" s="99">
        <v>-50819.054898000002</v>
      </c>
      <c r="AS110" s="100">
        <v>-281698</v>
      </c>
      <c r="AT110" s="101">
        <v>-99080</v>
      </c>
      <c r="AU110" s="102">
        <v>-182618</v>
      </c>
      <c r="AV110" s="103">
        <v>4409848</v>
      </c>
      <c r="AW110" s="104">
        <v>3830037</v>
      </c>
      <c r="AX110" s="104">
        <v>3645177</v>
      </c>
      <c r="AY110" s="105">
        <v>4672595</v>
      </c>
      <c r="AZ110" s="103">
        <v>1521124</v>
      </c>
      <c r="BA110" s="104">
        <v>1321125</v>
      </c>
      <c r="BB110" s="104">
        <v>1257360</v>
      </c>
      <c r="BC110" s="105">
        <v>1611756</v>
      </c>
      <c r="BD110" s="103">
        <v>2888724</v>
      </c>
      <c r="BE110" s="104">
        <v>2508912</v>
      </c>
      <c r="BF110" s="104">
        <v>2387817</v>
      </c>
      <c r="BG110" s="105">
        <v>3060839</v>
      </c>
      <c r="BH110" s="64">
        <f t="shared" si="4"/>
        <v>-31100.338376000058</v>
      </c>
      <c r="BI110" s="106">
        <f t="shared" si="5"/>
        <v>-59067.661623999942</v>
      </c>
    </row>
    <row r="111" spans="2:61">
      <c r="B111" s="89" t="s">
        <v>350</v>
      </c>
      <c r="C111" s="90">
        <f>'[1]LEA - Summary GASB75'!H111</f>
        <v>1631835</v>
      </c>
      <c r="D111" s="91">
        <f t="shared" si="3"/>
        <v>578602.99962000002</v>
      </c>
      <c r="E111" s="92">
        <v>1630798</v>
      </c>
      <c r="F111" s="93">
        <v>578236</v>
      </c>
      <c r="G111" s="94">
        <v>0.354572</v>
      </c>
      <c r="H111" s="94">
        <v>0.645428</v>
      </c>
      <c r="I111" s="100">
        <v>1630798</v>
      </c>
      <c r="J111" s="101">
        <v>578235</v>
      </c>
      <c r="K111" s="102">
        <v>1052563</v>
      </c>
      <c r="L111" s="100">
        <v>122523</v>
      </c>
      <c r="M111" s="101">
        <v>43443</v>
      </c>
      <c r="N111" s="101">
        <v>79080</v>
      </c>
      <c r="O111" s="100">
        <v>0</v>
      </c>
      <c r="P111" s="101">
        <v>0</v>
      </c>
      <c r="Q111" s="101">
        <v>0</v>
      </c>
      <c r="R111" s="100">
        <v>0</v>
      </c>
      <c r="S111" s="101">
        <v>0</v>
      </c>
      <c r="T111" s="101">
        <v>0</v>
      </c>
      <c r="U111" s="100">
        <v>0</v>
      </c>
      <c r="V111" s="101">
        <v>0</v>
      </c>
      <c r="W111" s="101">
        <v>0</v>
      </c>
      <c r="X111" s="100">
        <v>67081</v>
      </c>
      <c r="Y111" s="101">
        <v>23785</v>
      </c>
      <c r="Z111" s="101">
        <v>43296</v>
      </c>
      <c r="AA111" s="107">
        <v>-7892</v>
      </c>
      <c r="AB111" s="98">
        <v>-7892</v>
      </c>
      <c r="AC111" s="98">
        <v>-7892</v>
      </c>
      <c r="AD111" s="98">
        <v>-7892</v>
      </c>
      <c r="AE111" s="98">
        <v>-7892</v>
      </c>
      <c r="AF111" s="99">
        <v>-27621</v>
      </c>
      <c r="AG111" s="107">
        <v>-2798.282224</v>
      </c>
      <c r="AH111" s="98">
        <v>-2798.282224</v>
      </c>
      <c r="AI111" s="98">
        <v>-2798.282224</v>
      </c>
      <c r="AJ111" s="98">
        <v>-2798.282224</v>
      </c>
      <c r="AK111" s="98">
        <v>-2798.282224</v>
      </c>
      <c r="AL111" s="99">
        <v>-9793.6332120000006</v>
      </c>
      <c r="AM111" s="107">
        <v>-5093.7177759999995</v>
      </c>
      <c r="AN111" s="98">
        <v>-5093.7177759999995</v>
      </c>
      <c r="AO111" s="98">
        <v>-5093.7177759999995</v>
      </c>
      <c r="AP111" s="98">
        <v>-5093.7177759999995</v>
      </c>
      <c r="AQ111" s="98">
        <v>-5093.7177759999995</v>
      </c>
      <c r="AR111" s="99">
        <v>-17827.366787999999</v>
      </c>
      <c r="AS111" s="100">
        <v>-63423</v>
      </c>
      <c r="AT111" s="101">
        <v>-26466</v>
      </c>
      <c r="AU111" s="102">
        <v>-36957</v>
      </c>
      <c r="AV111" s="103">
        <v>1748540</v>
      </c>
      <c r="AW111" s="104">
        <v>1518257</v>
      </c>
      <c r="AX111" s="104">
        <v>1452769</v>
      </c>
      <c r="AY111" s="105">
        <v>1840128</v>
      </c>
      <c r="AZ111" s="103">
        <v>619983</v>
      </c>
      <c r="BA111" s="104">
        <v>538331</v>
      </c>
      <c r="BB111" s="104">
        <v>515111</v>
      </c>
      <c r="BC111" s="105">
        <v>652458</v>
      </c>
      <c r="BD111" s="103">
        <v>1128557</v>
      </c>
      <c r="BE111" s="104">
        <v>979926</v>
      </c>
      <c r="BF111" s="104">
        <v>937658</v>
      </c>
      <c r="BG111" s="105">
        <v>1187670</v>
      </c>
      <c r="BH111" s="64">
        <f t="shared" si="4"/>
        <v>-366.99962000001688</v>
      </c>
      <c r="BI111" s="106">
        <f t="shared" si="5"/>
        <v>-670.00038000009954</v>
      </c>
    </row>
    <row r="112" spans="2:61">
      <c r="B112" s="89" t="s">
        <v>351</v>
      </c>
      <c r="C112" s="90">
        <f>'[1]LEA - Summary GASB75'!H112</f>
        <v>6024823</v>
      </c>
      <c r="D112" s="91">
        <f t="shared" si="3"/>
        <v>2098741.0672269999</v>
      </c>
      <c r="E112" s="92">
        <v>6000633</v>
      </c>
      <c r="F112" s="93">
        <v>2090312</v>
      </c>
      <c r="G112" s="94">
        <v>0.34834900000000002</v>
      </c>
      <c r="H112" s="94">
        <v>0.65165099999999998</v>
      </c>
      <c r="I112" s="100">
        <v>6000633</v>
      </c>
      <c r="J112" s="101">
        <v>2090315</v>
      </c>
      <c r="K112" s="102">
        <v>3910318</v>
      </c>
      <c r="L112" s="100">
        <v>491775</v>
      </c>
      <c r="M112" s="101">
        <v>171309</v>
      </c>
      <c r="N112" s="101">
        <v>320466</v>
      </c>
      <c r="O112" s="100">
        <v>0</v>
      </c>
      <c r="P112" s="101">
        <v>0</v>
      </c>
      <c r="Q112" s="101">
        <v>0</v>
      </c>
      <c r="R112" s="100">
        <v>0</v>
      </c>
      <c r="S112" s="101">
        <v>0</v>
      </c>
      <c r="T112" s="101">
        <v>0</v>
      </c>
      <c r="U112" s="100">
        <v>0</v>
      </c>
      <c r="V112" s="101">
        <v>0</v>
      </c>
      <c r="W112" s="101">
        <v>0</v>
      </c>
      <c r="X112" s="100">
        <v>261697</v>
      </c>
      <c r="Y112" s="101">
        <v>91162</v>
      </c>
      <c r="Z112" s="101">
        <v>170535</v>
      </c>
      <c r="AA112" s="107">
        <v>-28139</v>
      </c>
      <c r="AB112" s="98">
        <v>-28139</v>
      </c>
      <c r="AC112" s="98">
        <v>-28139</v>
      </c>
      <c r="AD112" s="98">
        <v>-28139</v>
      </c>
      <c r="AE112" s="98">
        <v>-28139</v>
      </c>
      <c r="AF112" s="99">
        <v>-121002</v>
      </c>
      <c r="AG112" s="107">
        <v>-9802.1925110000011</v>
      </c>
      <c r="AH112" s="98">
        <v>-9802.1925110000011</v>
      </c>
      <c r="AI112" s="98">
        <v>-9802.1925110000011</v>
      </c>
      <c r="AJ112" s="98">
        <v>-9802.1925110000011</v>
      </c>
      <c r="AK112" s="98">
        <v>-9802.1925110000011</v>
      </c>
      <c r="AL112" s="99">
        <v>-42150.925697999999</v>
      </c>
      <c r="AM112" s="107">
        <v>-18336.807488999999</v>
      </c>
      <c r="AN112" s="98">
        <v>-18336.807488999999</v>
      </c>
      <c r="AO112" s="98">
        <v>-18336.807488999999</v>
      </c>
      <c r="AP112" s="98">
        <v>-18336.807488999999</v>
      </c>
      <c r="AQ112" s="98">
        <v>-18336.807488999999</v>
      </c>
      <c r="AR112" s="99">
        <v>-78851.074301999994</v>
      </c>
      <c r="AS112" s="100">
        <v>-274645</v>
      </c>
      <c r="AT112" s="101">
        <v>-84122</v>
      </c>
      <c r="AU112" s="102">
        <v>-190523</v>
      </c>
      <c r="AV112" s="103">
        <v>6457119</v>
      </c>
      <c r="AW112" s="104">
        <v>5565202</v>
      </c>
      <c r="AX112" s="104">
        <v>5289805</v>
      </c>
      <c r="AY112" s="105">
        <v>6846704</v>
      </c>
      <c r="AZ112" s="103">
        <v>2249331</v>
      </c>
      <c r="BA112" s="104">
        <v>1938633</v>
      </c>
      <c r="BB112" s="104">
        <v>1842698</v>
      </c>
      <c r="BC112" s="105">
        <v>2385042</v>
      </c>
      <c r="BD112" s="103">
        <v>4207788</v>
      </c>
      <c r="BE112" s="104">
        <v>3626569</v>
      </c>
      <c r="BF112" s="104">
        <v>3447107</v>
      </c>
      <c r="BG112" s="105">
        <v>4461662</v>
      </c>
      <c r="BH112" s="64">
        <f t="shared" si="4"/>
        <v>-8429.067226999905</v>
      </c>
      <c r="BI112" s="106">
        <f t="shared" si="5"/>
        <v>-15760.932773000095</v>
      </c>
    </row>
    <row r="113" spans="2:61">
      <c r="B113" s="89" t="s">
        <v>352</v>
      </c>
      <c r="C113" s="90">
        <f>'[1]LEA - Summary GASB75'!H113</f>
        <v>1677928</v>
      </c>
      <c r="D113" s="91">
        <f t="shared" si="3"/>
        <v>596592.33418400004</v>
      </c>
      <c r="E113" s="92">
        <v>1659787</v>
      </c>
      <c r="F113" s="93">
        <v>590142</v>
      </c>
      <c r="G113" s="94">
        <v>0.35555300000000001</v>
      </c>
      <c r="H113" s="94">
        <v>0.64444699999999999</v>
      </c>
      <c r="I113" s="100">
        <v>1659787</v>
      </c>
      <c r="J113" s="101">
        <v>590142</v>
      </c>
      <c r="K113" s="102">
        <v>1069645</v>
      </c>
      <c r="L113" s="100">
        <v>148820</v>
      </c>
      <c r="M113" s="101">
        <v>52913</v>
      </c>
      <c r="N113" s="101">
        <v>95907</v>
      </c>
      <c r="O113" s="100">
        <v>0</v>
      </c>
      <c r="P113" s="101">
        <v>0</v>
      </c>
      <c r="Q113" s="101">
        <v>0</v>
      </c>
      <c r="R113" s="100">
        <v>0</v>
      </c>
      <c r="S113" s="101">
        <v>0</v>
      </c>
      <c r="T113" s="101">
        <v>0</v>
      </c>
      <c r="U113" s="100">
        <v>0</v>
      </c>
      <c r="V113" s="101">
        <v>0</v>
      </c>
      <c r="W113" s="101">
        <v>0</v>
      </c>
      <c r="X113" s="100">
        <v>75776</v>
      </c>
      <c r="Y113" s="101">
        <v>26942</v>
      </c>
      <c r="Z113" s="101">
        <v>48834</v>
      </c>
      <c r="AA113" s="107">
        <v>-8061</v>
      </c>
      <c r="AB113" s="98">
        <v>-8061</v>
      </c>
      <c r="AC113" s="98">
        <v>-8061</v>
      </c>
      <c r="AD113" s="98">
        <v>-8061</v>
      </c>
      <c r="AE113" s="98">
        <v>-8061</v>
      </c>
      <c r="AF113" s="99">
        <v>-35471</v>
      </c>
      <c r="AG113" s="107">
        <v>-2866.1127329999999</v>
      </c>
      <c r="AH113" s="98">
        <v>-2866.1127329999999</v>
      </c>
      <c r="AI113" s="98">
        <v>-2866.1127329999999</v>
      </c>
      <c r="AJ113" s="98">
        <v>-2866.1127329999999</v>
      </c>
      <c r="AK113" s="98">
        <v>-2866.1127329999999</v>
      </c>
      <c r="AL113" s="99">
        <v>-12611.820463</v>
      </c>
      <c r="AM113" s="107">
        <v>-5194.8872670000001</v>
      </c>
      <c r="AN113" s="98">
        <v>-5194.8872670000001</v>
      </c>
      <c r="AO113" s="98">
        <v>-5194.8872670000001</v>
      </c>
      <c r="AP113" s="98">
        <v>-5194.8872670000001</v>
      </c>
      <c r="AQ113" s="98">
        <v>-5194.8872670000001</v>
      </c>
      <c r="AR113" s="99">
        <v>-22859.179537</v>
      </c>
      <c r="AS113" s="100">
        <v>-88309</v>
      </c>
      <c r="AT113" s="101">
        <v>-30302</v>
      </c>
      <c r="AU113" s="102">
        <v>-58007</v>
      </c>
      <c r="AV113" s="103">
        <v>1792035</v>
      </c>
      <c r="AW113" s="104">
        <v>1534501</v>
      </c>
      <c r="AX113" s="104">
        <v>1455785</v>
      </c>
      <c r="AY113" s="105">
        <v>1904467</v>
      </c>
      <c r="AZ113" s="103">
        <v>637163</v>
      </c>
      <c r="BA113" s="104">
        <v>545596</v>
      </c>
      <c r="BB113" s="104">
        <v>517609</v>
      </c>
      <c r="BC113" s="105">
        <v>677139</v>
      </c>
      <c r="BD113" s="103">
        <v>1154872</v>
      </c>
      <c r="BE113" s="104">
        <v>988905</v>
      </c>
      <c r="BF113" s="104">
        <v>938176</v>
      </c>
      <c r="BG113" s="105">
        <v>1227328</v>
      </c>
      <c r="BH113" s="64">
        <f t="shared" si="4"/>
        <v>-6450.3341840000357</v>
      </c>
      <c r="BI113" s="106">
        <f t="shared" si="5"/>
        <v>-11690.665815999964</v>
      </c>
    </row>
    <row r="114" spans="2:61">
      <c r="B114" s="89" t="s">
        <v>353</v>
      </c>
      <c r="C114" s="90">
        <f>'[1]LEA - Summary GASB75'!H114</f>
        <v>1353917</v>
      </c>
      <c r="D114" s="91">
        <f t="shared" si="3"/>
        <v>465574.14662399999</v>
      </c>
      <c r="E114" s="92">
        <v>1348675</v>
      </c>
      <c r="F114" s="93">
        <v>463771</v>
      </c>
      <c r="G114" s="94">
        <v>0.34387200000000001</v>
      </c>
      <c r="H114" s="94">
        <v>0.65612800000000004</v>
      </c>
      <c r="I114" s="100">
        <v>1348675</v>
      </c>
      <c r="J114" s="101">
        <v>463772</v>
      </c>
      <c r="K114" s="102">
        <v>884903</v>
      </c>
      <c r="L114" s="100">
        <v>113757</v>
      </c>
      <c r="M114" s="101">
        <v>39118</v>
      </c>
      <c r="N114" s="101">
        <v>74639</v>
      </c>
      <c r="O114" s="100">
        <v>0</v>
      </c>
      <c r="P114" s="101">
        <v>0</v>
      </c>
      <c r="Q114" s="101">
        <v>0</v>
      </c>
      <c r="R114" s="100">
        <v>0</v>
      </c>
      <c r="S114" s="101">
        <v>0</v>
      </c>
      <c r="T114" s="101">
        <v>0</v>
      </c>
      <c r="U114" s="100">
        <v>0</v>
      </c>
      <c r="V114" s="101">
        <v>0</v>
      </c>
      <c r="W114" s="101">
        <v>0</v>
      </c>
      <c r="X114" s="100">
        <v>55052</v>
      </c>
      <c r="Y114" s="101">
        <v>18931</v>
      </c>
      <c r="Z114" s="101">
        <v>36121</v>
      </c>
      <c r="AA114" s="107">
        <v>-6328</v>
      </c>
      <c r="AB114" s="98">
        <v>-6328</v>
      </c>
      <c r="AC114" s="98">
        <v>-6328</v>
      </c>
      <c r="AD114" s="98">
        <v>-6328</v>
      </c>
      <c r="AE114" s="98">
        <v>-6328</v>
      </c>
      <c r="AF114" s="99">
        <v>-23412</v>
      </c>
      <c r="AG114" s="107">
        <v>-2176.0220159999999</v>
      </c>
      <c r="AH114" s="98">
        <v>-2176.0220159999999</v>
      </c>
      <c r="AI114" s="98">
        <v>-2176.0220159999999</v>
      </c>
      <c r="AJ114" s="98">
        <v>-2176.0220159999999</v>
      </c>
      <c r="AK114" s="98">
        <v>-2176.0220159999999</v>
      </c>
      <c r="AL114" s="99">
        <v>-8050.731264</v>
      </c>
      <c r="AM114" s="107">
        <v>-4151.9779840000001</v>
      </c>
      <c r="AN114" s="98">
        <v>-4151.9779840000001</v>
      </c>
      <c r="AO114" s="98">
        <v>-4151.9779840000001</v>
      </c>
      <c r="AP114" s="98">
        <v>-4151.9779840000001</v>
      </c>
      <c r="AQ114" s="98">
        <v>-4151.9779840000001</v>
      </c>
      <c r="AR114" s="99">
        <v>-15361.268736</v>
      </c>
      <c r="AS114" s="100">
        <v>-64507</v>
      </c>
      <c r="AT114" s="101">
        <v>-21440</v>
      </c>
      <c r="AU114" s="102">
        <v>-43067</v>
      </c>
      <c r="AV114" s="103">
        <v>1445520</v>
      </c>
      <c r="AW114" s="104">
        <v>1255600</v>
      </c>
      <c r="AX114" s="104">
        <v>1193960</v>
      </c>
      <c r="AY114" s="105">
        <v>1532231</v>
      </c>
      <c r="AZ114" s="103">
        <v>497074</v>
      </c>
      <c r="BA114" s="104">
        <v>431766</v>
      </c>
      <c r="BB114" s="104">
        <v>410569</v>
      </c>
      <c r="BC114" s="105">
        <v>526891</v>
      </c>
      <c r="BD114" s="103">
        <v>948446</v>
      </c>
      <c r="BE114" s="104">
        <v>823834</v>
      </c>
      <c r="BF114" s="104">
        <v>783391</v>
      </c>
      <c r="BG114" s="105">
        <v>1005340</v>
      </c>
      <c r="BH114" s="64">
        <f t="shared" si="4"/>
        <v>-1803.1466239999863</v>
      </c>
      <c r="BI114" s="106">
        <f t="shared" si="5"/>
        <v>-3438.8533759999555</v>
      </c>
    </row>
    <row r="115" spans="2:61">
      <c r="B115" s="89" t="s">
        <v>354</v>
      </c>
      <c r="C115" s="90">
        <f>'[1]LEA - Summary GASB75'!H115</f>
        <v>1191092</v>
      </c>
      <c r="D115" s="91">
        <f t="shared" si="3"/>
        <v>444620.35049600003</v>
      </c>
      <c r="E115" s="92">
        <v>1167968</v>
      </c>
      <c r="F115" s="93">
        <v>435988</v>
      </c>
      <c r="G115" s="94">
        <v>0.37328800000000001</v>
      </c>
      <c r="H115" s="94">
        <v>0.62671199999999994</v>
      </c>
      <c r="I115" s="100">
        <v>1167968</v>
      </c>
      <c r="J115" s="101">
        <v>435988</v>
      </c>
      <c r="K115" s="102">
        <v>731980</v>
      </c>
      <c r="L115" s="100">
        <v>80269</v>
      </c>
      <c r="M115" s="101">
        <v>29963</v>
      </c>
      <c r="N115" s="101">
        <v>50306</v>
      </c>
      <c r="O115" s="100">
        <v>0</v>
      </c>
      <c r="P115" s="101">
        <v>0</v>
      </c>
      <c r="Q115" s="101">
        <v>0</v>
      </c>
      <c r="R115" s="100">
        <v>0</v>
      </c>
      <c r="S115" s="101">
        <v>0</v>
      </c>
      <c r="T115" s="101">
        <v>0</v>
      </c>
      <c r="U115" s="100">
        <v>0</v>
      </c>
      <c r="V115" s="101">
        <v>0</v>
      </c>
      <c r="W115" s="101">
        <v>0</v>
      </c>
      <c r="X115" s="100">
        <v>40172</v>
      </c>
      <c r="Y115" s="101">
        <v>14996</v>
      </c>
      <c r="Z115" s="101">
        <v>25176</v>
      </c>
      <c r="AA115" s="107">
        <v>-5085</v>
      </c>
      <c r="AB115" s="98">
        <v>-5085</v>
      </c>
      <c r="AC115" s="98">
        <v>-5085</v>
      </c>
      <c r="AD115" s="98">
        <v>-5085</v>
      </c>
      <c r="AE115" s="98">
        <v>-5085</v>
      </c>
      <c r="AF115" s="99">
        <v>-14747</v>
      </c>
      <c r="AG115" s="107">
        <v>-1898.16948</v>
      </c>
      <c r="AH115" s="98">
        <v>-1898.16948</v>
      </c>
      <c r="AI115" s="98">
        <v>-1898.16948</v>
      </c>
      <c r="AJ115" s="98">
        <v>-1898.16948</v>
      </c>
      <c r="AK115" s="98">
        <v>-1898.16948</v>
      </c>
      <c r="AL115" s="99">
        <v>-5504.8781360000003</v>
      </c>
      <c r="AM115" s="107">
        <v>-3186.83052</v>
      </c>
      <c r="AN115" s="98">
        <v>-3186.83052</v>
      </c>
      <c r="AO115" s="98">
        <v>-3186.83052</v>
      </c>
      <c r="AP115" s="98">
        <v>-3186.83052</v>
      </c>
      <c r="AQ115" s="98">
        <v>-3186.83052</v>
      </c>
      <c r="AR115" s="99">
        <v>-9242.1218640000006</v>
      </c>
      <c r="AS115" s="100">
        <v>-70811</v>
      </c>
      <c r="AT115" s="101">
        <v>-28826</v>
      </c>
      <c r="AU115" s="102">
        <v>-41985</v>
      </c>
      <c r="AV115" s="103">
        <v>1238785</v>
      </c>
      <c r="AW115" s="104">
        <v>1099027</v>
      </c>
      <c r="AX115" s="104">
        <v>1058010</v>
      </c>
      <c r="AY115" s="105">
        <v>1295212</v>
      </c>
      <c r="AZ115" s="103">
        <v>462424</v>
      </c>
      <c r="BA115" s="104">
        <v>410254</v>
      </c>
      <c r="BB115" s="104">
        <v>394942</v>
      </c>
      <c r="BC115" s="105">
        <v>483487</v>
      </c>
      <c r="BD115" s="103">
        <v>776361</v>
      </c>
      <c r="BE115" s="104">
        <v>688773</v>
      </c>
      <c r="BF115" s="104">
        <v>663068</v>
      </c>
      <c r="BG115" s="105">
        <v>811725</v>
      </c>
      <c r="BH115" s="64">
        <f t="shared" si="4"/>
        <v>-8632.3504960000282</v>
      </c>
      <c r="BI115" s="106">
        <f t="shared" si="5"/>
        <v>-14491.649503999972</v>
      </c>
    </row>
    <row r="116" spans="2:61">
      <c r="B116" s="89" t="s">
        <v>355</v>
      </c>
      <c r="C116" s="90">
        <f>'[1]LEA - Summary GASB75'!H116</f>
        <v>4500018</v>
      </c>
      <c r="D116" s="91">
        <f t="shared" si="3"/>
        <v>1489051.456182</v>
      </c>
      <c r="E116" s="92">
        <v>4471820</v>
      </c>
      <c r="F116" s="93">
        <v>1479720</v>
      </c>
      <c r="G116" s="94">
        <v>0.330899</v>
      </c>
      <c r="H116" s="94">
        <v>0.66910099999999995</v>
      </c>
      <c r="I116" s="100">
        <v>4471820</v>
      </c>
      <c r="J116" s="101">
        <v>1479721</v>
      </c>
      <c r="K116" s="102">
        <v>2992099</v>
      </c>
      <c r="L116" s="100">
        <v>379241</v>
      </c>
      <c r="M116" s="101">
        <v>125490</v>
      </c>
      <c r="N116" s="101">
        <v>253751</v>
      </c>
      <c r="O116" s="100">
        <v>0</v>
      </c>
      <c r="P116" s="101">
        <v>0</v>
      </c>
      <c r="Q116" s="101">
        <v>0</v>
      </c>
      <c r="R116" s="100">
        <v>0</v>
      </c>
      <c r="S116" s="101">
        <v>0</v>
      </c>
      <c r="T116" s="101">
        <v>0</v>
      </c>
      <c r="U116" s="100">
        <v>0</v>
      </c>
      <c r="V116" s="101">
        <v>0</v>
      </c>
      <c r="W116" s="101">
        <v>0</v>
      </c>
      <c r="X116" s="100">
        <v>197869</v>
      </c>
      <c r="Y116" s="101">
        <v>65475</v>
      </c>
      <c r="Z116" s="101">
        <v>132394</v>
      </c>
      <c r="AA116" s="107">
        <v>-20611</v>
      </c>
      <c r="AB116" s="98">
        <v>-20611</v>
      </c>
      <c r="AC116" s="98">
        <v>-20611</v>
      </c>
      <c r="AD116" s="98">
        <v>-20611</v>
      </c>
      <c r="AE116" s="98">
        <v>-20611</v>
      </c>
      <c r="AF116" s="99">
        <v>-94814</v>
      </c>
      <c r="AG116" s="107">
        <v>-6820.1592890000002</v>
      </c>
      <c r="AH116" s="98">
        <v>-6820.1592890000002</v>
      </c>
      <c r="AI116" s="98">
        <v>-6820.1592890000002</v>
      </c>
      <c r="AJ116" s="98">
        <v>-6820.1592890000002</v>
      </c>
      <c r="AK116" s="98">
        <v>-6820.1592890000002</v>
      </c>
      <c r="AL116" s="99">
        <v>-31373.857786</v>
      </c>
      <c r="AM116" s="107">
        <v>-13790.840711000001</v>
      </c>
      <c r="AN116" s="98">
        <v>-13790.840711000001</v>
      </c>
      <c r="AO116" s="98">
        <v>-13790.840711000001</v>
      </c>
      <c r="AP116" s="98">
        <v>-13790.840711000001</v>
      </c>
      <c r="AQ116" s="98">
        <v>-13790.840711000001</v>
      </c>
      <c r="AR116" s="99">
        <v>-63440.142214</v>
      </c>
      <c r="AS116" s="100">
        <v>-219134</v>
      </c>
      <c r="AT116" s="101">
        <v>-58492</v>
      </c>
      <c r="AU116" s="102">
        <v>-160642</v>
      </c>
      <c r="AV116" s="103">
        <v>4816021</v>
      </c>
      <c r="AW116" s="104">
        <v>4144918</v>
      </c>
      <c r="AX116" s="104">
        <v>3940902</v>
      </c>
      <c r="AY116" s="105">
        <v>5104932</v>
      </c>
      <c r="AZ116" s="103">
        <v>1593617</v>
      </c>
      <c r="BA116" s="104">
        <v>1371549</v>
      </c>
      <c r="BB116" s="104">
        <v>1304041</v>
      </c>
      <c r="BC116" s="105">
        <v>1689217</v>
      </c>
      <c r="BD116" s="103">
        <v>3222404</v>
      </c>
      <c r="BE116" s="104">
        <v>2773369</v>
      </c>
      <c r="BF116" s="104">
        <v>2636861</v>
      </c>
      <c r="BG116" s="105">
        <v>3415715</v>
      </c>
      <c r="BH116" s="64">
        <f t="shared" si="4"/>
        <v>-9331.4561819999944</v>
      </c>
      <c r="BI116" s="106">
        <f t="shared" si="5"/>
        <v>-18866.543817999773</v>
      </c>
    </row>
    <row r="117" spans="2:61">
      <c r="B117" s="89" t="s">
        <v>356</v>
      </c>
      <c r="C117" s="90">
        <f>'[1]LEA - Summary GASB75'!H117</f>
        <v>0</v>
      </c>
      <c r="D117" s="91">
        <f t="shared" si="3"/>
        <v>0</v>
      </c>
      <c r="E117" s="92">
        <v>0</v>
      </c>
      <c r="F117" s="93">
        <v>0</v>
      </c>
      <c r="G117" s="94">
        <v>0</v>
      </c>
      <c r="H117" s="94">
        <v>1</v>
      </c>
      <c r="I117" s="100">
        <v>0</v>
      </c>
      <c r="J117" s="101">
        <v>0</v>
      </c>
      <c r="K117" s="102">
        <v>0</v>
      </c>
      <c r="L117" s="100">
        <v>0</v>
      </c>
      <c r="M117" s="101">
        <v>0</v>
      </c>
      <c r="N117" s="101">
        <v>0</v>
      </c>
      <c r="O117" s="100">
        <v>0</v>
      </c>
      <c r="P117" s="101">
        <v>0</v>
      </c>
      <c r="Q117" s="101">
        <v>0</v>
      </c>
      <c r="R117" s="100">
        <v>0</v>
      </c>
      <c r="S117" s="101">
        <v>0</v>
      </c>
      <c r="T117" s="101">
        <v>0</v>
      </c>
      <c r="U117" s="100">
        <v>0</v>
      </c>
      <c r="V117" s="101">
        <v>0</v>
      </c>
      <c r="W117" s="101">
        <v>0</v>
      </c>
      <c r="X117" s="100">
        <v>0</v>
      </c>
      <c r="Y117" s="101">
        <v>0</v>
      </c>
      <c r="Z117" s="101">
        <v>0</v>
      </c>
      <c r="AA117" s="107">
        <v>0</v>
      </c>
      <c r="AB117" s="98">
        <v>0</v>
      </c>
      <c r="AC117" s="98">
        <v>0</v>
      </c>
      <c r="AD117" s="98">
        <v>0</v>
      </c>
      <c r="AE117" s="98">
        <v>0</v>
      </c>
      <c r="AF117" s="99">
        <v>0</v>
      </c>
      <c r="AG117" s="107">
        <v>0</v>
      </c>
      <c r="AH117" s="98">
        <v>0</v>
      </c>
      <c r="AI117" s="98">
        <v>0</v>
      </c>
      <c r="AJ117" s="98">
        <v>0</v>
      </c>
      <c r="AK117" s="98">
        <v>0</v>
      </c>
      <c r="AL117" s="99">
        <v>0</v>
      </c>
      <c r="AM117" s="107">
        <v>0</v>
      </c>
      <c r="AN117" s="98">
        <v>0</v>
      </c>
      <c r="AO117" s="98">
        <v>0</v>
      </c>
      <c r="AP117" s="98">
        <v>0</v>
      </c>
      <c r="AQ117" s="98">
        <v>0</v>
      </c>
      <c r="AR117" s="99">
        <v>0</v>
      </c>
      <c r="AS117" s="100">
        <v>0</v>
      </c>
      <c r="AT117" s="101">
        <v>0</v>
      </c>
      <c r="AU117" s="102">
        <v>0</v>
      </c>
      <c r="AV117" s="103">
        <v>0</v>
      </c>
      <c r="AW117" s="104">
        <v>0</v>
      </c>
      <c r="AX117" s="104">
        <v>0</v>
      </c>
      <c r="AY117" s="105">
        <v>0</v>
      </c>
      <c r="AZ117" s="103">
        <v>0</v>
      </c>
      <c r="BA117" s="104">
        <v>0</v>
      </c>
      <c r="BB117" s="104">
        <v>0</v>
      </c>
      <c r="BC117" s="105">
        <v>0</v>
      </c>
      <c r="BD117" s="103">
        <v>0</v>
      </c>
      <c r="BE117" s="104">
        <v>0</v>
      </c>
      <c r="BF117" s="104">
        <v>0</v>
      </c>
      <c r="BG117" s="105">
        <v>0</v>
      </c>
      <c r="BH117" s="64">
        <f t="shared" si="4"/>
        <v>0</v>
      </c>
      <c r="BI117" s="106">
        <f t="shared" si="5"/>
        <v>0</v>
      </c>
    </row>
    <row r="118" spans="2:61">
      <c r="B118" s="89" t="s">
        <v>357</v>
      </c>
      <c r="C118" s="90">
        <f>'[1]LEA - Summary GASB75'!H118</f>
        <v>12691498</v>
      </c>
      <c r="D118" s="91">
        <f t="shared" si="3"/>
        <v>4352422.32412</v>
      </c>
      <c r="E118" s="92">
        <v>12425634</v>
      </c>
      <c r="F118" s="93">
        <v>4261246</v>
      </c>
      <c r="G118" s="94">
        <v>0.34294000000000002</v>
      </c>
      <c r="H118" s="94">
        <v>0.65705999999999998</v>
      </c>
      <c r="I118" s="100">
        <v>12425634</v>
      </c>
      <c r="J118" s="101">
        <v>4261247</v>
      </c>
      <c r="K118" s="102">
        <v>8164387</v>
      </c>
      <c r="L118" s="100">
        <v>1030071</v>
      </c>
      <c r="M118" s="101">
        <v>353253</v>
      </c>
      <c r="N118" s="101">
        <v>676818</v>
      </c>
      <c r="O118" s="100">
        <v>0</v>
      </c>
      <c r="P118" s="101">
        <v>0</v>
      </c>
      <c r="Q118" s="101">
        <v>0</v>
      </c>
      <c r="R118" s="100">
        <v>0</v>
      </c>
      <c r="S118" s="101">
        <v>0</v>
      </c>
      <c r="T118" s="101">
        <v>0</v>
      </c>
      <c r="U118" s="100">
        <v>0</v>
      </c>
      <c r="V118" s="101">
        <v>0</v>
      </c>
      <c r="W118" s="101">
        <v>0</v>
      </c>
      <c r="X118" s="100">
        <v>542248</v>
      </c>
      <c r="Y118" s="101">
        <v>185959</v>
      </c>
      <c r="Z118" s="101">
        <v>356289</v>
      </c>
      <c r="AA118" s="107">
        <v>-58940</v>
      </c>
      <c r="AB118" s="98">
        <v>-58940</v>
      </c>
      <c r="AC118" s="98">
        <v>-58940</v>
      </c>
      <c r="AD118" s="98">
        <v>-58940</v>
      </c>
      <c r="AE118" s="98">
        <v>-58940</v>
      </c>
      <c r="AF118" s="99">
        <v>-247548</v>
      </c>
      <c r="AG118" s="107">
        <v>-20212.883600000001</v>
      </c>
      <c r="AH118" s="98">
        <v>-20212.883600000001</v>
      </c>
      <c r="AI118" s="98">
        <v>-20212.883600000001</v>
      </c>
      <c r="AJ118" s="98">
        <v>-20212.883600000001</v>
      </c>
      <c r="AK118" s="98">
        <v>-20212.883600000001</v>
      </c>
      <c r="AL118" s="99">
        <v>-84894.111120000001</v>
      </c>
      <c r="AM118" s="107">
        <v>-38727.116399999999</v>
      </c>
      <c r="AN118" s="98">
        <v>-38727.116399999999</v>
      </c>
      <c r="AO118" s="98">
        <v>-38727.116399999999</v>
      </c>
      <c r="AP118" s="98">
        <v>-38727.116399999999</v>
      </c>
      <c r="AQ118" s="98">
        <v>-38727.116399999999</v>
      </c>
      <c r="AR118" s="99">
        <v>-162653.88887999998</v>
      </c>
      <c r="AS118" s="100">
        <v>-782536</v>
      </c>
      <c r="AT118" s="101">
        <v>-271511</v>
      </c>
      <c r="AU118" s="102">
        <v>-511025</v>
      </c>
      <c r="AV118" s="103">
        <v>13373281</v>
      </c>
      <c r="AW118" s="104">
        <v>11529600</v>
      </c>
      <c r="AX118" s="104">
        <v>10991178</v>
      </c>
      <c r="AY118" s="105">
        <v>14137415</v>
      </c>
      <c r="AZ118" s="103">
        <v>4586233</v>
      </c>
      <c r="BA118" s="104">
        <v>3953961</v>
      </c>
      <c r="BB118" s="104">
        <v>3769315</v>
      </c>
      <c r="BC118" s="105">
        <v>4848285</v>
      </c>
      <c r="BD118" s="103">
        <v>8787048</v>
      </c>
      <c r="BE118" s="104">
        <v>7575639</v>
      </c>
      <c r="BF118" s="104">
        <v>7221863</v>
      </c>
      <c r="BG118" s="105">
        <v>9289130</v>
      </c>
      <c r="BH118" s="64">
        <f t="shared" si="4"/>
        <v>-91176.324120000005</v>
      </c>
      <c r="BI118" s="106">
        <f t="shared" si="5"/>
        <v>-174687.67588</v>
      </c>
    </row>
    <row r="119" spans="2:61">
      <c r="B119" s="89" t="s">
        <v>358</v>
      </c>
      <c r="C119" s="90">
        <f>'[1]LEA - Summary GASB75'!H119</f>
        <v>3860746</v>
      </c>
      <c r="D119" s="91">
        <f t="shared" si="3"/>
        <v>1321950.3163679999</v>
      </c>
      <c r="E119" s="92">
        <v>3930747</v>
      </c>
      <c r="F119" s="93">
        <v>1345921</v>
      </c>
      <c r="G119" s="94">
        <v>0.34240799999999999</v>
      </c>
      <c r="H119" s="94">
        <v>0.65759199999999995</v>
      </c>
      <c r="I119" s="100">
        <v>3930747</v>
      </c>
      <c r="J119" s="101">
        <v>1345919</v>
      </c>
      <c r="K119" s="102">
        <v>2584828</v>
      </c>
      <c r="L119" s="100">
        <v>373937</v>
      </c>
      <c r="M119" s="101">
        <v>128039</v>
      </c>
      <c r="N119" s="101">
        <v>245898</v>
      </c>
      <c r="O119" s="100">
        <v>0</v>
      </c>
      <c r="P119" s="101">
        <v>0</v>
      </c>
      <c r="Q119" s="101">
        <v>0</v>
      </c>
      <c r="R119" s="100">
        <v>0</v>
      </c>
      <c r="S119" s="101">
        <v>0</v>
      </c>
      <c r="T119" s="101">
        <v>0</v>
      </c>
      <c r="U119" s="100">
        <v>0</v>
      </c>
      <c r="V119" s="101">
        <v>0</v>
      </c>
      <c r="W119" s="101">
        <v>0</v>
      </c>
      <c r="X119" s="100">
        <v>177244</v>
      </c>
      <c r="Y119" s="101">
        <v>60690</v>
      </c>
      <c r="Z119" s="101">
        <v>116554</v>
      </c>
      <c r="AA119" s="107">
        <v>-19058</v>
      </c>
      <c r="AB119" s="98">
        <v>-19058</v>
      </c>
      <c r="AC119" s="98">
        <v>-19058</v>
      </c>
      <c r="AD119" s="98">
        <v>-19058</v>
      </c>
      <c r="AE119" s="98">
        <v>-19058</v>
      </c>
      <c r="AF119" s="99">
        <v>-81954</v>
      </c>
      <c r="AG119" s="107">
        <v>-6525.611664</v>
      </c>
      <c r="AH119" s="98">
        <v>-6525.611664</v>
      </c>
      <c r="AI119" s="98">
        <v>-6525.611664</v>
      </c>
      <c r="AJ119" s="98">
        <v>-6525.611664</v>
      </c>
      <c r="AK119" s="98">
        <v>-6525.611664</v>
      </c>
      <c r="AL119" s="99">
        <v>-28061.705232</v>
      </c>
      <c r="AM119" s="107">
        <v>-12532.388336</v>
      </c>
      <c r="AN119" s="98">
        <v>-12532.388336</v>
      </c>
      <c r="AO119" s="98">
        <v>-12532.388336</v>
      </c>
      <c r="AP119" s="98">
        <v>-12532.388336</v>
      </c>
      <c r="AQ119" s="98">
        <v>-12532.388336</v>
      </c>
      <c r="AR119" s="99">
        <v>-53892.294768</v>
      </c>
      <c r="AS119" s="100">
        <v>-151392</v>
      </c>
      <c r="AT119" s="101">
        <v>-53628</v>
      </c>
      <c r="AU119" s="102">
        <v>-97764</v>
      </c>
      <c r="AV119" s="103">
        <v>4240301</v>
      </c>
      <c r="AW119" s="104">
        <v>3636020</v>
      </c>
      <c r="AX119" s="104">
        <v>3438237</v>
      </c>
      <c r="AY119" s="105">
        <v>4517814</v>
      </c>
      <c r="AZ119" s="103">
        <v>1451913</v>
      </c>
      <c r="BA119" s="104">
        <v>1245002</v>
      </c>
      <c r="BB119" s="104">
        <v>1177280</v>
      </c>
      <c r="BC119" s="105">
        <v>1546936</v>
      </c>
      <c r="BD119" s="103">
        <v>2788388</v>
      </c>
      <c r="BE119" s="104">
        <v>2391018</v>
      </c>
      <c r="BF119" s="104">
        <v>2260957</v>
      </c>
      <c r="BG119" s="105">
        <v>2970878</v>
      </c>
      <c r="BH119" s="64">
        <f t="shared" si="4"/>
        <v>23970.683632000117</v>
      </c>
      <c r="BI119" s="106">
        <f t="shared" si="5"/>
        <v>46030.316367999651</v>
      </c>
    </row>
    <row r="120" spans="2:61">
      <c r="B120" s="89" t="s">
        <v>359</v>
      </c>
      <c r="C120" s="90">
        <f>'[1]LEA - Summary GASB75'!H120</f>
        <v>82991</v>
      </c>
      <c r="D120" s="91">
        <f t="shared" si="3"/>
        <v>28788.830980999999</v>
      </c>
      <c r="E120" s="92">
        <v>90135</v>
      </c>
      <c r="F120" s="93">
        <v>31267</v>
      </c>
      <c r="G120" s="94">
        <v>0.346891</v>
      </c>
      <c r="H120" s="94">
        <v>0.65310899999999994</v>
      </c>
      <c r="I120" s="100">
        <v>90135</v>
      </c>
      <c r="J120" s="101">
        <v>31267</v>
      </c>
      <c r="K120" s="102">
        <v>58868</v>
      </c>
      <c r="L120" s="100">
        <v>10367</v>
      </c>
      <c r="M120" s="101">
        <v>3596</v>
      </c>
      <c r="N120" s="101">
        <v>6771</v>
      </c>
      <c r="O120" s="100">
        <v>0</v>
      </c>
      <c r="P120" s="101">
        <v>0</v>
      </c>
      <c r="Q120" s="101">
        <v>0</v>
      </c>
      <c r="R120" s="100">
        <v>0</v>
      </c>
      <c r="S120" s="101">
        <v>0</v>
      </c>
      <c r="T120" s="101">
        <v>0</v>
      </c>
      <c r="U120" s="100">
        <v>0</v>
      </c>
      <c r="V120" s="101">
        <v>0</v>
      </c>
      <c r="W120" s="101">
        <v>0</v>
      </c>
      <c r="X120" s="100">
        <v>3223</v>
      </c>
      <c r="Y120" s="101">
        <v>1118</v>
      </c>
      <c r="Z120" s="101">
        <v>2105</v>
      </c>
      <c r="AA120" s="107">
        <v>-393</v>
      </c>
      <c r="AB120" s="98">
        <v>-393</v>
      </c>
      <c r="AC120" s="98">
        <v>-393</v>
      </c>
      <c r="AD120" s="98">
        <v>-393</v>
      </c>
      <c r="AE120" s="98">
        <v>-393</v>
      </c>
      <c r="AF120" s="99">
        <v>-1258</v>
      </c>
      <c r="AG120" s="107">
        <v>-136.32816299999999</v>
      </c>
      <c r="AH120" s="98">
        <v>-136.32816299999999</v>
      </c>
      <c r="AI120" s="98">
        <v>-136.32816299999999</v>
      </c>
      <c r="AJ120" s="98">
        <v>-136.32816299999999</v>
      </c>
      <c r="AK120" s="98">
        <v>-136.32816299999999</v>
      </c>
      <c r="AL120" s="99">
        <v>-436.38887800000003</v>
      </c>
      <c r="AM120" s="107">
        <v>-256.67183699999998</v>
      </c>
      <c r="AN120" s="98">
        <v>-256.67183699999998</v>
      </c>
      <c r="AO120" s="98">
        <v>-256.67183699999998</v>
      </c>
      <c r="AP120" s="98">
        <v>-256.67183699999998</v>
      </c>
      <c r="AQ120" s="98">
        <v>-256.67183699999998</v>
      </c>
      <c r="AR120" s="99">
        <v>-821.61112200000002</v>
      </c>
      <c r="AS120" s="100">
        <v>-1662</v>
      </c>
      <c r="AT120" s="101">
        <v>-507</v>
      </c>
      <c r="AU120" s="102">
        <v>-1155</v>
      </c>
      <c r="AV120" s="103">
        <v>95758</v>
      </c>
      <c r="AW120" s="104">
        <v>84791</v>
      </c>
      <c r="AX120" s="104">
        <v>80311</v>
      </c>
      <c r="AY120" s="105">
        <v>101940</v>
      </c>
      <c r="AZ120" s="103">
        <v>33218</v>
      </c>
      <c r="BA120" s="104">
        <v>29413</v>
      </c>
      <c r="BB120" s="104">
        <v>27859</v>
      </c>
      <c r="BC120" s="105">
        <v>35362</v>
      </c>
      <c r="BD120" s="103">
        <v>62540</v>
      </c>
      <c r="BE120" s="104">
        <v>55378</v>
      </c>
      <c r="BF120" s="104">
        <v>52452</v>
      </c>
      <c r="BG120" s="105">
        <v>66578</v>
      </c>
      <c r="BH120" s="64">
        <f t="shared" si="4"/>
        <v>2478.1690190000008</v>
      </c>
      <c r="BI120" s="106">
        <f t="shared" si="5"/>
        <v>4665.8309809999992</v>
      </c>
    </row>
    <row r="121" spans="2:61">
      <c r="B121" s="89" t="s">
        <v>360</v>
      </c>
      <c r="C121" s="90">
        <f>'[1]LEA - Summary GASB75'!H121</f>
        <v>12836706</v>
      </c>
      <c r="D121" s="91">
        <f t="shared" si="3"/>
        <v>3997812.3698160001</v>
      </c>
      <c r="E121" s="92">
        <v>12648333</v>
      </c>
      <c r="F121" s="93">
        <v>3939145</v>
      </c>
      <c r="G121" s="94">
        <v>0.31143599999999999</v>
      </c>
      <c r="H121" s="94">
        <v>0.68856399999999995</v>
      </c>
      <c r="I121" s="100">
        <v>12648333</v>
      </c>
      <c r="J121" s="101">
        <v>3939146</v>
      </c>
      <c r="K121" s="102">
        <v>8709187</v>
      </c>
      <c r="L121" s="100">
        <v>1005296</v>
      </c>
      <c r="M121" s="101">
        <v>313085</v>
      </c>
      <c r="N121" s="101">
        <v>692211</v>
      </c>
      <c r="O121" s="100">
        <v>0</v>
      </c>
      <c r="P121" s="101">
        <v>0</v>
      </c>
      <c r="Q121" s="101">
        <v>0</v>
      </c>
      <c r="R121" s="100">
        <v>0</v>
      </c>
      <c r="S121" s="101">
        <v>0</v>
      </c>
      <c r="T121" s="101">
        <v>0</v>
      </c>
      <c r="U121" s="100">
        <v>0</v>
      </c>
      <c r="V121" s="101">
        <v>0</v>
      </c>
      <c r="W121" s="101">
        <v>0</v>
      </c>
      <c r="X121" s="100">
        <v>497844</v>
      </c>
      <c r="Y121" s="101">
        <v>155047</v>
      </c>
      <c r="Z121" s="101">
        <v>342797</v>
      </c>
      <c r="AA121" s="107">
        <v>-55937</v>
      </c>
      <c r="AB121" s="98">
        <v>-55937</v>
      </c>
      <c r="AC121" s="98">
        <v>-55937</v>
      </c>
      <c r="AD121" s="98">
        <v>-55937</v>
      </c>
      <c r="AE121" s="98">
        <v>-55937</v>
      </c>
      <c r="AF121" s="99">
        <v>-218159</v>
      </c>
      <c r="AG121" s="107">
        <v>-17420.795532</v>
      </c>
      <c r="AH121" s="98">
        <v>-17420.795532</v>
      </c>
      <c r="AI121" s="98">
        <v>-17420.795532</v>
      </c>
      <c r="AJ121" s="98">
        <v>-17420.795532</v>
      </c>
      <c r="AK121" s="98">
        <v>-17420.795532</v>
      </c>
      <c r="AL121" s="99">
        <v>-67942.566323999999</v>
      </c>
      <c r="AM121" s="107">
        <v>-38516.204467999996</v>
      </c>
      <c r="AN121" s="98">
        <v>-38516.204467999996</v>
      </c>
      <c r="AO121" s="98">
        <v>-38516.204467999996</v>
      </c>
      <c r="AP121" s="98">
        <v>-38516.204467999996</v>
      </c>
      <c r="AQ121" s="98">
        <v>-38516.204467999996</v>
      </c>
      <c r="AR121" s="99">
        <v>-150216.43367599999</v>
      </c>
      <c r="AS121" s="100">
        <v>-745622</v>
      </c>
      <c r="AT121" s="101">
        <v>-210469</v>
      </c>
      <c r="AU121" s="102">
        <v>-535153</v>
      </c>
      <c r="AV121" s="103">
        <v>13518605</v>
      </c>
      <c r="AW121" s="104">
        <v>11811431</v>
      </c>
      <c r="AX121" s="104">
        <v>11285327</v>
      </c>
      <c r="AY121" s="105">
        <v>14247690</v>
      </c>
      <c r="AZ121" s="103">
        <v>4210180</v>
      </c>
      <c r="BA121" s="104">
        <v>3678505</v>
      </c>
      <c r="BB121" s="104">
        <v>3514657</v>
      </c>
      <c r="BC121" s="105">
        <v>4437244</v>
      </c>
      <c r="BD121" s="103">
        <v>9308425</v>
      </c>
      <c r="BE121" s="104">
        <v>8132926</v>
      </c>
      <c r="BF121" s="104">
        <v>7770670</v>
      </c>
      <c r="BG121" s="105">
        <v>9810446</v>
      </c>
      <c r="BH121" s="64">
        <f t="shared" si="4"/>
        <v>-58667.369816000108</v>
      </c>
      <c r="BI121" s="106">
        <f t="shared" si="5"/>
        <v>-129705.63018400036</v>
      </c>
    </row>
    <row r="122" spans="2:61">
      <c r="B122" s="89" t="s">
        <v>361</v>
      </c>
      <c r="C122" s="90">
        <f>'[1]LEA - Summary GASB75'!H122</f>
        <v>30825345</v>
      </c>
      <c r="D122" s="91">
        <f t="shared" si="3"/>
        <v>7836172.6031400003</v>
      </c>
      <c r="E122" s="92">
        <v>30442218</v>
      </c>
      <c r="F122" s="93">
        <v>7738768</v>
      </c>
      <c r="G122" s="94">
        <v>0.25421199999999999</v>
      </c>
      <c r="H122" s="94">
        <v>0.74578800000000001</v>
      </c>
      <c r="I122" s="100">
        <v>30442218</v>
      </c>
      <c r="J122" s="101">
        <v>7738777</v>
      </c>
      <c r="K122" s="102">
        <v>22703441</v>
      </c>
      <c r="L122" s="100">
        <v>2514300</v>
      </c>
      <c r="M122" s="101">
        <v>639165</v>
      </c>
      <c r="N122" s="101">
        <v>1875135</v>
      </c>
      <c r="O122" s="100">
        <v>0</v>
      </c>
      <c r="P122" s="101">
        <v>0</v>
      </c>
      <c r="Q122" s="101">
        <v>0</v>
      </c>
      <c r="R122" s="100">
        <v>0</v>
      </c>
      <c r="S122" s="101">
        <v>0</v>
      </c>
      <c r="T122" s="101">
        <v>0</v>
      </c>
      <c r="U122" s="100">
        <v>0</v>
      </c>
      <c r="V122" s="101">
        <v>0</v>
      </c>
      <c r="W122" s="101">
        <v>0</v>
      </c>
      <c r="X122" s="100">
        <v>1354597</v>
      </c>
      <c r="Y122" s="101">
        <v>344355</v>
      </c>
      <c r="Z122" s="101">
        <v>1010242</v>
      </c>
      <c r="AA122" s="107">
        <v>-142589</v>
      </c>
      <c r="AB122" s="98">
        <v>-142589</v>
      </c>
      <c r="AC122" s="98">
        <v>-142589</v>
      </c>
      <c r="AD122" s="98">
        <v>-142589</v>
      </c>
      <c r="AE122" s="98">
        <v>-142589</v>
      </c>
      <c r="AF122" s="99">
        <v>-641652</v>
      </c>
      <c r="AG122" s="107">
        <v>-36247.834867999998</v>
      </c>
      <c r="AH122" s="98">
        <v>-36247.834867999998</v>
      </c>
      <c r="AI122" s="98">
        <v>-36247.834867999998</v>
      </c>
      <c r="AJ122" s="98">
        <v>-36247.834867999998</v>
      </c>
      <c r="AK122" s="98">
        <v>-36247.834867999998</v>
      </c>
      <c r="AL122" s="99">
        <v>-163115.63822399999</v>
      </c>
      <c r="AM122" s="107">
        <v>-106341.16513199999</v>
      </c>
      <c r="AN122" s="98">
        <v>-106341.16513199999</v>
      </c>
      <c r="AO122" s="98">
        <v>-106341.16513199999</v>
      </c>
      <c r="AP122" s="98">
        <v>-106341.16513199999</v>
      </c>
      <c r="AQ122" s="98">
        <v>-106341.16513199999</v>
      </c>
      <c r="AR122" s="99">
        <v>-478536.36177600001</v>
      </c>
      <c r="AS122" s="100">
        <v>-1624909</v>
      </c>
      <c r="AT122" s="101">
        <v>-437779</v>
      </c>
      <c r="AU122" s="102">
        <v>-1187130</v>
      </c>
      <c r="AV122" s="103">
        <v>32803050</v>
      </c>
      <c r="AW122" s="104">
        <v>28207256</v>
      </c>
      <c r="AX122" s="104">
        <v>26850440</v>
      </c>
      <c r="AY122" s="105">
        <v>34733772</v>
      </c>
      <c r="AZ122" s="103">
        <v>8338929</v>
      </c>
      <c r="BA122" s="104">
        <v>7170623</v>
      </c>
      <c r="BB122" s="104">
        <v>6825704</v>
      </c>
      <c r="BC122" s="105">
        <v>8829742</v>
      </c>
      <c r="BD122" s="103">
        <v>24464121</v>
      </c>
      <c r="BE122" s="104">
        <v>21036633</v>
      </c>
      <c r="BF122" s="104">
        <v>20024736</v>
      </c>
      <c r="BG122" s="105">
        <v>25904030</v>
      </c>
      <c r="BH122" s="64">
        <f t="shared" si="4"/>
        <v>-97404.603140000254</v>
      </c>
      <c r="BI122" s="106">
        <f t="shared" si="5"/>
        <v>-285722.39685999975</v>
      </c>
    </row>
    <row r="123" spans="2:61">
      <c r="B123" s="89" t="s">
        <v>362</v>
      </c>
      <c r="C123" s="90">
        <f>'[1]LEA - Summary GASB75'!H123</f>
        <v>1056511</v>
      </c>
      <c r="D123" s="91">
        <f t="shared" si="3"/>
        <v>367483.05159699998</v>
      </c>
      <c r="E123" s="92">
        <v>1047619</v>
      </c>
      <c r="F123" s="93">
        <v>364390</v>
      </c>
      <c r="G123" s="94">
        <v>0.347827</v>
      </c>
      <c r="H123" s="94">
        <v>0.652173</v>
      </c>
      <c r="I123" s="100">
        <v>1047619</v>
      </c>
      <c r="J123" s="101">
        <v>364390</v>
      </c>
      <c r="K123" s="102">
        <v>683229</v>
      </c>
      <c r="L123" s="100">
        <v>87564</v>
      </c>
      <c r="M123" s="101">
        <v>30457</v>
      </c>
      <c r="N123" s="101">
        <v>57107</v>
      </c>
      <c r="O123" s="100">
        <v>0</v>
      </c>
      <c r="P123" s="101">
        <v>0</v>
      </c>
      <c r="Q123" s="101">
        <v>0</v>
      </c>
      <c r="R123" s="100">
        <v>0</v>
      </c>
      <c r="S123" s="101">
        <v>0</v>
      </c>
      <c r="T123" s="101">
        <v>0</v>
      </c>
      <c r="U123" s="100">
        <v>0</v>
      </c>
      <c r="V123" s="101">
        <v>0</v>
      </c>
      <c r="W123" s="101">
        <v>0</v>
      </c>
      <c r="X123" s="100">
        <v>40960</v>
      </c>
      <c r="Y123" s="101">
        <v>14247</v>
      </c>
      <c r="Z123" s="101">
        <v>26713</v>
      </c>
      <c r="AA123" s="107">
        <v>-4404</v>
      </c>
      <c r="AB123" s="98">
        <v>-4404</v>
      </c>
      <c r="AC123" s="98">
        <v>-4404</v>
      </c>
      <c r="AD123" s="98">
        <v>-4404</v>
      </c>
      <c r="AE123" s="98">
        <v>-4404</v>
      </c>
      <c r="AF123" s="99">
        <v>-18940</v>
      </c>
      <c r="AG123" s="107">
        <v>-1531.8301079999999</v>
      </c>
      <c r="AH123" s="98">
        <v>-1531.8301079999999</v>
      </c>
      <c r="AI123" s="98">
        <v>-1531.8301079999999</v>
      </c>
      <c r="AJ123" s="98">
        <v>-1531.8301079999999</v>
      </c>
      <c r="AK123" s="98">
        <v>-1531.8301079999999</v>
      </c>
      <c r="AL123" s="99">
        <v>-6587.8433800000003</v>
      </c>
      <c r="AM123" s="107">
        <v>-2872.1698919999999</v>
      </c>
      <c r="AN123" s="98">
        <v>-2872.1698919999999</v>
      </c>
      <c r="AO123" s="98">
        <v>-2872.1698919999999</v>
      </c>
      <c r="AP123" s="98">
        <v>-2872.1698919999999</v>
      </c>
      <c r="AQ123" s="98">
        <v>-2872.1698919999999</v>
      </c>
      <c r="AR123" s="99">
        <v>-12352.15662</v>
      </c>
      <c r="AS123" s="100">
        <v>-60460</v>
      </c>
      <c r="AT123" s="101">
        <v>-20087</v>
      </c>
      <c r="AU123" s="102">
        <v>-40373</v>
      </c>
      <c r="AV123" s="103">
        <v>1119030</v>
      </c>
      <c r="AW123" s="104">
        <v>979306</v>
      </c>
      <c r="AX123" s="104">
        <v>935570</v>
      </c>
      <c r="AY123" s="105">
        <v>1180413</v>
      </c>
      <c r="AZ123" s="103">
        <v>389229</v>
      </c>
      <c r="BA123" s="104">
        <v>340629</v>
      </c>
      <c r="BB123" s="104">
        <v>325417</v>
      </c>
      <c r="BC123" s="105">
        <v>410580</v>
      </c>
      <c r="BD123" s="103">
        <v>729801</v>
      </c>
      <c r="BE123" s="104">
        <v>638677</v>
      </c>
      <c r="BF123" s="104">
        <v>610153</v>
      </c>
      <c r="BG123" s="105">
        <v>769833</v>
      </c>
      <c r="BH123" s="64">
        <f t="shared" si="4"/>
        <v>-3093.0515969999833</v>
      </c>
      <c r="BI123" s="106">
        <f t="shared" si="5"/>
        <v>-5798.9484030000167</v>
      </c>
    </row>
    <row r="124" spans="2:61">
      <c r="B124" s="89" t="s">
        <v>363</v>
      </c>
      <c r="C124" s="90">
        <f>'[1]LEA - Summary GASB75'!H124</f>
        <v>298409</v>
      </c>
      <c r="D124" s="91">
        <f t="shared" si="3"/>
        <v>102582.56988499999</v>
      </c>
      <c r="E124" s="92">
        <v>296354</v>
      </c>
      <c r="F124" s="93">
        <v>101876</v>
      </c>
      <c r="G124" s="94">
        <v>0.34376499999999999</v>
      </c>
      <c r="H124" s="94">
        <v>0.65623500000000001</v>
      </c>
      <c r="I124" s="100">
        <v>296354</v>
      </c>
      <c r="J124" s="101">
        <v>101876</v>
      </c>
      <c r="K124" s="102">
        <v>194478</v>
      </c>
      <c r="L124" s="100">
        <v>27887</v>
      </c>
      <c r="M124" s="101">
        <v>9587</v>
      </c>
      <c r="N124" s="101">
        <v>18300</v>
      </c>
      <c r="O124" s="100">
        <v>0</v>
      </c>
      <c r="P124" s="101">
        <v>0</v>
      </c>
      <c r="Q124" s="101">
        <v>0</v>
      </c>
      <c r="R124" s="100">
        <v>0</v>
      </c>
      <c r="S124" s="101">
        <v>0</v>
      </c>
      <c r="T124" s="101">
        <v>0</v>
      </c>
      <c r="U124" s="100">
        <v>0</v>
      </c>
      <c r="V124" s="101">
        <v>0</v>
      </c>
      <c r="W124" s="101">
        <v>0</v>
      </c>
      <c r="X124" s="100">
        <v>7423</v>
      </c>
      <c r="Y124" s="101">
        <v>2552</v>
      </c>
      <c r="Z124" s="101">
        <v>4871</v>
      </c>
      <c r="AA124" s="107">
        <v>-853</v>
      </c>
      <c r="AB124" s="98">
        <v>-853</v>
      </c>
      <c r="AC124" s="98">
        <v>-853</v>
      </c>
      <c r="AD124" s="98">
        <v>-853</v>
      </c>
      <c r="AE124" s="98">
        <v>-853</v>
      </c>
      <c r="AF124" s="99">
        <v>-3158</v>
      </c>
      <c r="AG124" s="107">
        <v>-293.23154499999998</v>
      </c>
      <c r="AH124" s="98">
        <v>-293.23154499999998</v>
      </c>
      <c r="AI124" s="98">
        <v>-293.23154499999998</v>
      </c>
      <c r="AJ124" s="98">
        <v>-293.23154499999998</v>
      </c>
      <c r="AK124" s="98">
        <v>-293.23154499999998</v>
      </c>
      <c r="AL124" s="99">
        <v>-1085.60987</v>
      </c>
      <c r="AM124" s="107">
        <v>-559.76845500000002</v>
      </c>
      <c r="AN124" s="98">
        <v>-559.76845500000002</v>
      </c>
      <c r="AO124" s="98">
        <v>-559.76845500000002</v>
      </c>
      <c r="AP124" s="98">
        <v>-559.76845500000002</v>
      </c>
      <c r="AQ124" s="98">
        <v>-559.76845500000002</v>
      </c>
      <c r="AR124" s="99">
        <v>-2072.3901299999998</v>
      </c>
      <c r="AS124" s="100">
        <v>-26499</v>
      </c>
      <c r="AT124" s="101">
        <v>-9605</v>
      </c>
      <c r="AU124" s="102">
        <v>-16894</v>
      </c>
      <c r="AV124" s="103">
        <v>309189</v>
      </c>
      <c r="AW124" s="104">
        <v>283289</v>
      </c>
      <c r="AX124" s="104">
        <v>270865</v>
      </c>
      <c r="AY124" s="105">
        <v>325992</v>
      </c>
      <c r="AZ124" s="103">
        <v>106288</v>
      </c>
      <c r="BA124" s="104">
        <v>97385</v>
      </c>
      <c r="BB124" s="104">
        <v>93114</v>
      </c>
      <c r="BC124" s="105">
        <v>112065</v>
      </c>
      <c r="BD124" s="103">
        <v>202901</v>
      </c>
      <c r="BE124" s="104">
        <v>185904</v>
      </c>
      <c r="BF124" s="104">
        <v>177751</v>
      </c>
      <c r="BG124" s="105">
        <v>213927</v>
      </c>
      <c r="BH124" s="64">
        <f t="shared" si="4"/>
        <v>-706.56988499998988</v>
      </c>
      <c r="BI124" s="106">
        <f t="shared" si="5"/>
        <v>-1348.4301149999956</v>
      </c>
    </row>
    <row r="125" spans="2:61">
      <c r="B125" s="89" t="s">
        <v>364</v>
      </c>
      <c r="C125" s="90">
        <f>'[1]LEA - Summary GASB75'!H125</f>
        <v>6660565</v>
      </c>
      <c r="D125" s="91">
        <f t="shared" si="3"/>
        <v>1754592.6379499999</v>
      </c>
      <c r="E125" s="92">
        <v>6804023</v>
      </c>
      <c r="F125" s="93">
        <v>1792382</v>
      </c>
      <c r="G125" s="94">
        <v>0.26343</v>
      </c>
      <c r="H125" s="94">
        <v>0.73656999999999995</v>
      </c>
      <c r="I125" s="100">
        <v>6804023</v>
      </c>
      <c r="J125" s="101">
        <v>1792384</v>
      </c>
      <c r="K125" s="102">
        <v>5011639</v>
      </c>
      <c r="L125" s="100">
        <v>626658</v>
      </c>
      <c r="M125" s="101">
        <v>165081</v>
      </c>
      <c r="N125" s="101">
        <v>461577</v>
      </c>
      <c r="O125" s="100">
        <v>0</v>
      </c>
      <c r="P125" s="101">
        <v>0</v>
      </c>
      <c r="Q125" s="101">
        <v>0</v>
      </c>
      <c r="R125" s="100">
        <v>0</v>
      </c>
      <c r="S125" s="101">
        <v>0</v>
      </c>
      <c r="T125" s="101">
        <v>0</v>
      </c>
      <c r="U125" s="100">
        <v>0</v>
      </c>
      <c r="V125" s="101">
        <v>0</v>
      </c>
      <c r="W125" s="101">
        <v>0</v>
      </c>
      <c r="X125" s="100">
        <v>301373</v>
      </c>
      <c r="Y125" s="101">
        <v>79391</v>
      </c>
      <c r="Z125" s="101">
        <v>221982</v>
      </c>
      <c r="AA125" s="107">
        <v>-31724</v>
      </c>
      <c r="AB125" s="98">
        <v>-31724</v>
      </c>
      <c r="AC125" s="98">
        <v>-31724</v>
      </c>
      <c r="AD125" s="98">
        <v>-31724</v>
      </c>
      <c r="AE125" s="98">
        <v>-31724</v>
      </c>
      <c r="AF125" s="99">
        <v>-142753</v>
      </c>
      <c r="AG125" s="107">
        <v>-8357.0533199999991</v>
      </c>
      <c r="AH125" s="98">
        <v>-8357.0533199999991</v>
      </c>
      <c r="AI125" s="98">
        <v>-8357.0533199999991</v>
      </c>
      <c r="AJ125" s="98">
        <v>-8357.0533199999991</v>
      </c>
      <c r="AK125" s="98">
        <v>-8357.0533199999991</v>
      </c>
      <c r="AL125" s="99">
        <v>-37605.422789999997</v>
      </c>
      <c r="AM125" s="107">
        <v>-23366.946680000001</v>
      </c>
      <c r="AN125" s="98">
        <v>-23366.946680000001</v>
      </c>
      <c r="AO125" s="98">
        <v>-23366.946680000001</v>
      </c>
      <c r="AP125" s="98">
        <v>-23366.946680000001</v>
      </c>
      <c r="AQ125" s="98">
        <v>-23366.946680000001</v>
      </c>
      <c r="AR125" s="99">
        <v>-105147.57721</v>
      </c>
      <c r="AS125" s="100">
        <v>-222517</v>
      </c>
      <c r="AT125" s="101">
        <v>-60744</v>
      </c>
      <c r="AU125" s="102">
        <v>-161773</v>
      </c>
      <c r="AV125" s="103">
        <v>7328053</v>
      </c>
      <c r="AW125" s="104">
        <v>6302918</v>
      </c>
      <c r="AX125" s="104">
        <v>5957804</v>
      </c>
      <c r="AY125" s="105">
        <v>7812339</v>
      </c>
      <c r="AZ125" s="103">
        <v>1930429</v>
      </c>
      <c r="BA125" s="104">
        <v>1660378</v>
      </c>
      <c r="BB125" s="104">
        <v>1569464</v>
      </c>
      <c r="BC125" s="105">
        <v>2058004</v>
      </c>
      <c r="BD125" s="103">
        <v>5397624</v>
      </c>
      <c r="BE125" s="104">
        <v>4642540</v>
      </c>
      <c r="BF125" s="104">
        <v>4388340</v>
      </c>
      <c r="BG125" s="105">
        <v>5754335</v>
      </c>
      <c r="BH125" s="64">
        <f t="shared" si="4"/>
        <v>37789.362050000113</v>
      </c>
      <c r="BI125" s="106">
        <f t="shared" si="5"/>
        <v>105668.63794999942</v>
      </c>
    </row>
    <row r="126" spans="2:61">
      <c r="B126" s="89" t="s">
        <v>365</v>
      </c>
      <c r="C126" s="90">
        <f>'[1]LEA - Summary GASB75'!H126</f>
        <v>1847113</v>
      </c>
      <c r="D126" s="91">
        <f t="shared" si="3"/>
        <v>644696.00327699992</v>
      </c>
      <c r="E126" s="92">
        <v>1852178</v>
      </c>
      <c r="F126" s="93">
        <v>646463</v>
      </c>
      <c r="G126" s="94">
        <v>0.34902899999999998</v>
      </c>
      <c r="H126" s="94">
        <v>0.65097099999999997</v>
      </c>
      <c r="I126" s="100">
        <v>1852178</v>
      </c>
      <c r="J126" s="101">
        <v>646464</v>
      </c>
      <c r="K126" s="102">
        <v>1205714</v>
      </c>
      <c r="L126" s="100">
        <v>175325</v>
      </c>
      <c r="M126" s="101">
        <v>61194</v>
      </c>
      <c r="N126" s="101">
        <v>114131</v>
      </c>
      <c r="O126" s="100">
        <v>0</v>
      </c>
      <c r="P126" s="101">
        <v>0</v>
      </c>
      <c r="Q126" s="101">
        <v>0</v>
      </c>
      <c r="R126" s="100">
        <v>0</v>
      </c>
      <c r="S126" s="101">
        <v>0</v>
      </c>
      <c r="T126" s="101">
        <v>0</v>
      </c>
      <c r="U126" s="100">
        <v>0</v>
      </c>
      <c r="V126" s="101">
        <v>0</v>
      </c>
      <c r="W126" s="101">
        <v>0</v>
      </c>
      <c r="X126" s="100">
        <v>85845</v>
      </c>
      <c r="Y126" s="101">
        <v>29962</v>
      </c>
      <c r="Z126" s="101">
        <v>55883</v>
      </c>
      <c r="AA126" s="107">
        <v>-8500</v>
      </c>
      <c r="AB126" s="98">
        <v>-8500</v>
      </c>
      <c r="AC126" s="98">
        <v>-8500</v>
      </c>
      <c r="AD126" s="98">
        <v>-8500</v>
      </c>
      <c r="AE126" s="98">
        <v>-8500</v>
      </c>
      <c r="AF126" s="99">
        <v>-43345</v>
      </c>
      <c r="AG126" s="107">
        <v>-2966.7464999999997</v>
      </c>
      <c r="AH126" s="98">
        <v>-2966.7464999999997</v>
      </c>
      <c r="AI126" s="98">
        <v>-2966.7464999999997</v>
      </c>
      <c r="AJ126" s="98">
        <v>-2966.7464999999997</v>
      </c>
      <c r="AK126" s="98">
        <v>-2966.7464999999997</v>
      </c>
      <c r="AL126" s="99">
        <v>-15128.662004999998</v>
      </c>
      <c r="AM126" s="107">
        <v>-5533.2535000000007</v>
      </c>
      <c r="AN126" s="98">
        <v>-5533.2535000000007</v>
      </c>
      <c r="AO126" s="98">
        <v>-5533.2535000000007</v>
      </c>
      <c r="AP126" s="98">
        <v>-5533.2535000000007</v>
      </c>
      <c r="AQ126" s="98">
        <v>-5533.2535000000007</v>
      </c>
      <c r="AR126" s="99">
        <v>-28216.337995000002</v>
      </c>
      <c r="AS126" s="100">
        <v>-89586</v>
      </c>
      <c r="AT126" s="101">
        <v>-33435</v>
      </c>
      <c r="AU126" s="102">
        <v>-56151</v>
      </c>
      <c r="AV126" s="103">
        <v>2000861</v>
      </c>
      <c r="AW126" s="104">
        <v>1711462</v>
      </c>
      <c r="AX126" s="104">
        <v>1618397</v>
      </c>
      <c r="AY126" s="105">
        <v>2133786</v>
      </c>
      <c r="AZ126" s="103">
        <v>698359</v>
      </c>
      <c r="BA126" s="104">
        <v>597350</v>
      </c>
      <c r="BB126" s="104">
        <v>564867</v>
      </c>
      <c r="BC126" s="105">
        <v>744753</v>
      </c>
      <c r="BD126" s="103">
        <v>1302502</v>
      </c>
      <c r="BE126" s="104">
        <v>1114112</v>
      </c>
      <c r="BF126" s="104">
        <v>1053530</v>
      </c>
      <c r="BG126" s="105">
        <v>1389033</v>
      </c>
      <c r="BH126" s="64">
        <f t="shared" si="4"/>
        <v>1766.9967230000766</v>
      </c>
      <c r="BI126" s="106">
        <f t="shared" si="5"/>
        <v>3298.0032770000398</v>
      </c>
    </row>
    <row r="127" spans="2:61">
      <c r="B127" s="89" t="s">
        <v>366</v>
      </c>
      <c r="C127" s="90">
        <f>'[1]LEA - Summary GASB75'!H127</f>
        <v>33220132</v>
      </c>
      <c r="D127" s="91">
        <f t="shared" si="3"/>
        <v>9874252.3752839994</v>
      </c>
      <c r="E127" s="92">
        <v>33169252</v>
      </c>
      <c r="F127" s="93">
        <v>9859116</v>
      </c>
      <c r="G127" s="94">
        <v>0.29723699999999997</v>
      </c>
      <c r="H127" s="94">
        <v>0.70276300000000003</v>
      </c>
      <c r="I127" s="100">
        <v>33169252</v>
      </c>
      <c r="J127" s="101">
        <v>9859129</v>
      </c>
      <c r="K127" s="102">
        <v>23310123</v>
      </c>
      <c r="L127" s="100">
        <v>2801807</v>
      </c>
      <c r="M127" s="101">
        <v>832801</v>
      </c>
      <c r="N127" s="101">
        <v>1969006</v>
      </c>
      <c r="O127" s="100">
        <v>0</v>
      </c>
      <c r="P127" s="101">
        <v>0</v>
      </c>
      <c r="Q127" s="101">
        <v>0</v>
      </c>
      <c r="R127" s="100">
        <v>0</v>
      </c>
      <c r="S127" s="101">
        <v>0</v>
      </c>
      <c r="T127" s="101">
        <v>0</v>
      </c>
      <c r="U127" s="100">
        <v>0</v>
      </c>
      <c r="V127" s="101">
        <v>0</v>
      </c>
      <c r="W127" s="101">
        <v>0</v>
      </c>
      <c r="X127" s="100">
        <v>1317231</v>
      </c>
      <c r="Y127" s="101">
        <v>391530</v>
      </c>
      <c r="Z127" s="101">
        <v>925701</v>
      </c>
      <c r="AA127" s="107">
        <v>-156813</v>
      </c>
      <c r="AB127" s="98">
        <v>-156813</v>
      </c>
      <c r="AC127" s="98">
        <v>-156813</v>
      </c>
      <c r="AD127" s="98">
        <v>-156813</v>
      </c>
      <c r="AE127" s="98">
        <v>-156813</v>
      </c>
      <c r="AF127" s="99">
        <v>-533166</v>
      </c>
      <c r="AG127" s="107">
        <v>-46610.625680999998</v>
      </c>
      <c r="AH127" s="98">
        <v>-46610.625680999998</v>
      </c>
      <c r="AI127" s="98">
        <v>-46610.625680999998</v>
      </c>
      <c r="AJ127" s="98">
        <v>-46610.625680999998</v>
      </c>
      <c r="AK127" s="98">
        <v>-46610.625680999998</v>
      </c>
      <c r="AL127" s="99">
        <v>-158476.662342</v>
      </c>
      <c r="AM127" s="107">
        <v>-110202.374319</v>
      </c>
      <c r="AN127" s="98">
        <v>-110202.374319</v>
      </c>
      <c r="AO127" s="98">
        <v>-110202.374319</v>
      </c>
      <c r="AP127" s="98">
        <v>-110202.374319</v>
      </c>
      <c r="AQ127" s="98">
        <v>-110202.374319</v>
      </c>
      <c r="AR127" s="99">
        <v>-374689.337658</v>
      </c>
      <c r="AS127" s="100">
        <v>-1753379</v>
      </c>
      <c r="AT127" s="101">
        <v>-397253</v>
      </c>
      <c r="AU127" s="102">
        <v>-1356126</v>
      </c>
      <c r="AV127" s="103">
        <v>35490107</v>
      </c>
      <c r="AW127" s="104">
        <v>30956407</v>
      </c>
      <c r="AX127" s="104">
        <v>29556318</v>
      </c>
      <c r="AY127" s="105">
        <v>37442226</v>
      </c>
      <c r="AZ127" s="103">
        <v>10548973</v>
      </c>
      <c r="BA127" s="104">
        <v>9201390</v>
      </c>
      <c r="BB127" s="104">
        <v>8785231</v>
      </c>
      <c r="BC127" s="105">
        <v>11129215</v>
      </c>
      <c r="BD127" s="103">
        <v>24941134</v>
      </c>
      <c r="BE127" s="104">
        <v>21755017</v>
      </c>
      <c r="BF127" s="104">
        <v>20771087</v>
      </c>
      <c r="BG127" s="105">
        <v>26313011</v>
      </c>
      <c r="BH127" s="64">
        <f t="shared" si="4"/>
        <v>-15136.375283999369</v>
      </c>
      <c r="BI127" s="106">
        <f t="shared" si="5"/>
        <v>-35743.624715998769</v>
      </c>
    </row>
    <row r="128" spans="2:61">
      <c r="B128" s="89" t="s">
        <v>367</v>
      </c>
      <c r="C128" s="90">
        <f>'[1]LEA - Summary GASB75'!H128</f>
        <v>4247087</v>
      </c>
      <c r="D128" s="91">
        <f t="shared" si="3"/>
        <v>1548148.1532400001</v>
      </c>
      <c r="E128" s="92">
        <v>4170840</v>
      </c>
      <c r="F128" s="93">
        <v>1520354</v>
      </c>
      <c r="G128" s="94">
        <v>0.36452000000000001</v>
      </c>
      <c r="H128" s="94">
        <v>0.63548000000000004</v>
      </c>
      <c r="I128" s="100">
        <v>4170840</v>
      </c>
      <c r="J128" s="101">
        <v>1520355</v>
      </c>
      <c r="K128" s="102">
        <v>2650485</v>
      </c>
      <c r="L128" s="100">
        <v>342312</v>
      </c>
      <c r="M128" s="101">
        <v>124780</v>
      </c>
      <c r="N128" s="101">
        <v>217532</v>
      </c>
      <c r="O128" s="100">
        <v>0</v>
      </c>
      <c r="P128" s="101">
        <v>0</v>
      </c>
      <c r="Q128" s="101">
        <v>0</v>
      </c>
      <c r="R128" s="100">
        <v>0</v>
      </c>
      <c r="S128" s="101">
        <v>0</v>
      </c>
      <c r="T128" s="101">
        <v>0</v>
      </c>
      <c r="U128" s="100">
        <v>0</v>
      </c>
      <c r="V128" s="101">
        <v>0</v>
      </c>
      <c r="W128" s="101">
        <v>0</v>
      </c>
      <c r="X128" s="100">
        <v>182397</v>
      </c>
      <c r="Y128" s="101">
        <v>66487</v>
      </c>
      <c r="Z128" s="101">
        <v>115910</v>
      </c>
      <c r="AA128" s="107">
        <v>-18424</v>
      </c>
      <c r="AB128" s="98">
        <v>-18424</v>
      </c>
      <c r="AC128" s="98">
        <v>-18424</v>
      </c>
      <c r="AD128" s="98">
        <v>-18424</v>
      </c>
      <c r="AE128" s="98">
        <v>-18424</v>
      </c>
      <c r="AF128" s="99">
        <v>-90277</v>
      </c>
      <c r="AG128" s="107">
        <v>-6715.9164799999999</v>
      </c>
      <c r="AH128" s="98">
        <v>-6715.9164799999999</v>
      </c>
      <c r="AI128" s="98">
        <v>-6715.9164799999999</v>
      </c>
      <c r="AJ128" s="98">
        <v>-6715.9164799999999</v>
      </c>
      <c r="AK128" s="98">
        <v>-6715.9164799999999</v>
      </c>
      <c r="AL128" s="99">
        <v>-32907.772040000003</v>
      </c>
      <c r="AM128" s="107">
        <v>-11708.08352</v>
      </c>
      <c r="AN128" s="98">
        <v>-11708.08352</v>
      </c>
      <c r="AO128" s="98">
        <v>-11708.08352</v>
      </c>
      <c r="AP128" s="98">
        <v>-11708.08352</v>
      </c>
      <c r="AQ128" s="98">
        <v>-11708.08352</v>
      </c>
      <c r="AR128" s="99">
        <v>-57369.227959999997</v>
      </c>
      <c r="AS128" s="100">
        <v>-258461</v>
      </c>
      <c r="AT128" s="101">
        <v>-95734</v>
      </c>
      <c r="AU128" s="102">
        <v>-162727</v>
      </c>
      <c r="AV128" s="103">
        <v>4487513</v>
      </c>
      <c r="AW128" s="104">
        <v>3870580</v>
      </c>
      <c r="AX128" s="104">
        <v>3684630</v>
      </c>
      <c r="AY128" s="105">
        <v>4753028</v>
      </c>
      <c r="AZ128" s="103">
        <v>1635788</v>
      </c>
      <c r="BA128" s="104">
        <v>1410904</v>
      </c>
      <c r="BB128" s="104">
        <v>1343121</v>
      </c>
      <c r="BC128" s="105">
        <v>1732574</v>
      </c>
      <c r="BD128" s="103">
        <v>2851725</v>
      </c>
      <c r="BE128" s="104">
        <v>2459676</v>
      </c>
      <c r="BF128" s="104">
        <v>2341509</v>
      </c>
      <c r="BG128" s="105">
        <v>3020454</v>
      </c>
      <c r="BH128" s="64">
        <f t="shared" si="4"/>
        <v>-27794.153240000131</v>
      </c>
      <c r="BI128" s="106">
        <f t="shared" si="5"/>
        <v>-48452.846760000102</v>
      </c>
    </row>
    <row r="129" spans="2:61">
      <c r="B129" s="89" t="s">
        <v>368</v>
      </c>
      <c r="C129" s="90">
        <f>'[1]LEA - Summary GASB75'!H129</f>
        <v>2117562</v>
      </c>
      <c r="D129" s="91">
        <f t="shared" si="3"/>
        <v>782816.085036</v>
      </c>
      <c r="E129" s="92">
        <v>2115401</v>
      </c>
      <c r="F129" s="93">
        <v>782018</v>
      </c>
      <c r="G129" s="94">
        <v>0.36967800000000001</v>
      </c>
      <c r="H129" s="94">
        <v>0.63032200000000005</v>
      </c>
      <c r="I129" s="100">
        <v>2115401</v>
      </c>
      <c r="J129" s="101">
        <v>782017</v>
      </c>
      <c r="K129" s="102">
        <v>1333384</v>
      </c>
      <c r="L129" s="100">
        <v>169539</v>
      </c>
      <c r="M129" s="101">
        <v>62675</v>
      </c>
      <c r="N129" s="101">
        <v>106864</v>
      </c>
      <c r="O129" s="100">
        <v>0</v>
      </c>
      <c r="P129" s="101">
        <v>0</v>
      </c>
      <c r="Q129" s="101">
        <v>0</v>
      </c>
      <c r="R129" s="100">
        <v>0</v>
      </c>
      <c r="S129" s="101">
        <v>0</v>
      </c>
      <c r="T129" s="101">
        <v>0</v>
      </c>
      <c r="U129" s="100">
        <v>0</v>
      </c>
      <c r="V129" s="101">
        <v>0</v>
      </c>
      <c r="W129" s="101">
        <v>0</v>
      </c>
      <c r="X129" s="100">
        <v>82892</v>
      </c>
      <c r="Y129" s="101">
        <v>30643</v>
      </c>
      <c r="Z129" s="101">
        <v>52249</v>
      </c>
      <c r="AA129" s="107">
        <v>-9109</v>
      </c>
      <c r="AB129" s="98">
        <v>-9109</v>
      </c>
      <c r="AC129" s="98">
        <v>-9109</v>
      </c>
      <c r="AD129" s="98">
        <v>-9109</v>
      </c>
      <c r="AE129" s="98">
        <v>-9109</v>
      </c>
      <c r="AF129" s="99">
        <v>-37347</v>
      </c>
      <c r="AG129" s="107">
        <v>-3367.396902</v>
      </c>
      <c r="AH129" s="98">
        <v>-3367.396902</v>
      </c>
      <c r="AI129" s="98">
        <v>-3367.396902</v>
      </c>
      <c r="AJ129" s="98">
        <v>-3367.396902</v>
      </c>
      <c r="AK129" s="98">
        <v>-3367.396902</v>
      </c>
      <c r="AL129" s="99">
        <v>-13806.364266</v>
      </c>
      <c r="AM129" s="107">
        <v>-5741.6030979999996</v>
      </c>
      <c r="AN129" s="98">
        <v>-5741.6030979999996</v>
      </c>
      <c r="AO129" s="98">
        <v>-5741.6030979999996</v>
      </c>
      <c r="AP129" s="98">
        <v>-5741.6030979999996</v>
      </c>
      <c r="AQ129" s="98">
        <v>-5741.6030979999996</v>
      </c>
      <c r="AR129" s="99">
        <v>-23540.635734</v>
      </c>
      <c r="AS129" s="100">
        <v>-92589</v>
      </c>
      <c r="AT129" s="101">
        <v>-36152</v>
      </c>
      <c r="AU129" s="102">
        <v>-56437</v>
      </c>
      <c r="AV129" s="103">
        <v>2259819</v>
      </c>
      <c r="AW129" s="104">
        <v>1976521</v>
      </c>
      <c r="AX129" s="104">
        <v>1889433</v>
      </c>
      <c r="AY129" s="105">
        <v>2379919</v>
      </c>
      <c r="AZ129" s="103">
        <v>835405</v>
      </c>
      <c r="BA129" s="104">
        <v>730676</v>
      </c>
      <c r="BB129" s="104">
        <v>698482</v>
      </c>
      <c r="BC129" s="105">
        <v>879804</v>
      </c>
      <c r="BD129" s="103">
        <v>1424414</v>
      </c>
      <c r="BE129" s="104">
        <v>1245845</v>
      </c>
      <c r="BF129" s="104">
        <v>1190951</v>
      </c>
      <c r="BG129" s="105">
        <v>1500115</v>
      </c>
      <c r="BH129" s="64">
        <f t="shared" si="4"/>
        <v>-798.08503600000404</v>
      </c>
      <c r="BI129" s="106">
        <f t="shared" si="5"/>
        <v>-1362.914963999996</v>
      </c>
    </row>
    <row r="130" spans="2:61">
      <c r="B130" s="89" t="s">
        <v>369</v>
      </c>
      <c r="C130" s="90">
        <f>'[1]LEA - Summary GASB75'!H130</f>
        <v>30287334</v>
      </c>
      <c r="D130" s="91">
        <f t="shared" si="3"/>
        <v>7629591.4459379995</v>
      </c>
      <c r="E130" s="92">
        <v>28907129</v>
      </c>
      <c r="F130" s="93">
        <v>7281905</v>
      </c>
      <c r="G130" s="94">
        <v>0.25190699999999999</v>
      </c>
      <c r="H130" s="94">
        <v>0.74809300000000001</v>
      </c>
      <c r="I130" s="100">
        <v>28907129</v>
      </c>
      <c r="J130" s="101">
        <v>7281908</v>
      </c>
      <c r="K130" s="102">
        <v>21625221</v>
      </c>
      <c r="L130" s="100">
        <v>2136917</v>
      </c>
      <c r="M130" s="101">
        <v>538304</v>
      </c>
      <c r="N130" s="101">
        <v>1598613</v>
      </c>
      <c r="O130" s="100">
        <v>0</v>
      </c>
      <c r="P130" s="101">
        <v>0</v>
      </c>
      <c r="Q130" s="101">
        <v>0</v>
      </c>
      <c r="R130" s="100">
        <v>0</v>
      </c>
      <c r="S130" s="101">
        <v>0</v>
      </c>
      <c r="T130" s="101">
        <v>0</v>
      </c>
      <c r="U130" s="100">
        <v>0</v>
      </c>
      <c r="V130" s="101">
        <v>0</v>
      </c>
      <c r="W130" s="101">
        <v>0</v>
      </c>
      <c r="X130" s="100">
        <v>981921</v>
      </c>
      <c r="Y130" s="101">
        <v>247353</v>
      </c>
      <c r="Z130" s="101">
        <v>734568</v>
      </c>
      <c r="AA130" s="107">
        <v>-132692</v>
      </c>
      <c r="AB130" s="98">
        <v>-132692</v>
      </c>
      <c r="AC130" s="98">
        <v>-132692</v>
      </c>
      <c r="AD130" s="98">
        <v>-132692</v>
      </c>
      <c r="AE130" s="98">
        <v>-132692</v>
      </c>
      <c r="AF130" s="99">
        <v>-318461</v>
      </c>
      <c r="AG130" s="107">
        <v>-33426.043643999998</v>
      </c>
      <c r="AH130" s="98">
        <v>-33426.043643999998</v>
      </c>
      <c r="AI130" s="98">
        <v>-33426.043643999998</v>
      </c>
      <c r="AJ130" s="98">
        <v>-33426.043643999998</v>
      </c>
      <c r="AK130" s="98">
        <v>-33426.043643999998</v>
      </c>
      <c r="AL130" s="99">
        <v>-80222.555127</v>
      </c>
      <c r="AM130" s="107">
        <v>-99265.95635600001</v>
      </c>
      <c r="AN130" s="98">
        <v>-99265.95635600001</v>
      </c>
      <c r="AO130" s="98">
        <v>-99265.95635600001</v>
      </c>
      <c r="AP130" s="98">
        <v>-99265.95635600001</v>
      </c>
      <c r="AQ130" s="98">
        <v>-99265.95635600001</v>
      </c>
      <c r="AR130" s="99">
        <v>-238238.444873</v>
      </c>
      <c r="AS130" s="100">
        <v>-2640476</v>
      </c>
      <c r="AT130" s="101">
        <v>-536068</v>
      </c>
      <c r="AU130" s="102">
        <v>-2104408</v>
      </c>
      <c r="AV130" s="103">
        <v>30661442</v>
      </c>
      <c r="AW130" s="104">
        <v>27230638</v>
      </c>
      <c r="AX130" s="104">
        <v>26262330</v>
      </c>
      <c r="AY130" s="105">
        <v>32000684</v>
      </c>
      <c r="AZ130" s="103">
        <v>7723832</v>
      </c>
      <c r="BA130" s="104">
        <v>6859588</v>
      </c>
      <c r="BB130" s="104">
        <v>6615665</v>
      </c>
      <c r="BC130" s="105">
        <v>8061196</v>
      </c>
      <c r="BD130" s="103">
        <v>22937610</v>
      </c>
      <c r="BE130" s="104">
        <v>20371050</v>
      </c>
      <c r="BF130" s="104">
        <v>19646665</v>
      </c>
      <c r="BG130" s="105">
        <v>23939488</v>
      </c>
      <c r="BH130" s="64">
        <f t="shared" si="4"/>
        <v>-347686.44593799952</v>
      </c>
      <c r="BI130" s="106">
        <f t="shared" si="5"/>
        <v>-1032518.5540620014</v>
      </c>
    </row>
    <row r="131" spans="2:61">
      <c r="B131" s="89" t="s">
        <v>370</v>
      </c>
      <c r="C131" s="90">
        <f>'[1]LEA - Summary GASB75'!H131</f>
        <v>0</v>
      </c>
      <c r="D131" s="91">
        <f t="shared" si="3"/>
        <v>0</v>
      </c>
      <c r="E131" s="92">
        <v>0</v>
      </c>
      <c r="F131" s="93">
        <v>0</v>
      </c>
      <c r="G131" s="94">
        <v>0</v>
      </c>
      <c r="H131" s="94">
        <v>1</v>
      </c>
      <c r="I131" s="100">
        <v>0</v>
      </c>
      <c r="J131" s="101">
        <v>0</v>
      </c>
      <c r="K131" s="102">
        <v>0</v>
      </c>
      <c r="L131" s="100">
        <v>0</v>
      </c>
      <c r="M131" s="101">
        <v>0</v>
      </c>
      <c r="N131" s="101">
        <v>0</v>
      </c>
      <c r="O131" s="100">
        <v>0</v>
      </c>
      <c r="P131" s="101">
        <v>0</v>
      </c>
      <c r="Q131" s="101">
        <v>0</v>
      </c>
      <c r="R131" s="100">
        <v>0</v>
      </c>
      <c r="S131" s="101">
        <v>0</v>
      </c>
      <c r="T131" s="101">
        <v>0</v>
      </c>
      <c r="U131" s="100">
        <v>0</v>
      </c>
      <c r="V131" s="101">
        <v>0</v>
      </c>
      <c r="W131" s="101">
        <v>0</v>
      </c>
      <c r="X131" s="100">
        <v>0</v>
      </c>
      <c r="Y131" s="101">
        <v>0</v>
      </c>
      <c r="Z131" s="101">
        <v>0</v>
      </c>
      <c r="AA131" s="107">
        <v>0</v>
      </c>
      <c r="AB131" s="98">
        <v>0</v>
      </c>
      <c r="AC131" s="98">
        <v>0</v>
      </c>
      <c r="AD131" s="98">
        <v>0</v>
      </c>
      <c r="AE131" s="98">
        <v>0</v>
      </c>
      <c r="AF131" s="99">
        <v>0</v>
      </c>
      <c r="AG131" s="107">
        <v>0</v>
      </c>
      <c r="AH131" s="98">
        <v>0</v>
      </c>
      <c r="AI131" s="98">
        <v>0</v>
      </c>
      <c r="AJ131" s="98">
        <v>0</v>
      </c>
      <c r="AK131" s="98">
        <v>0</v>
      </c>
      <c r="AL131" s="99">
        <v>0</v>
      </c>
      <c r="AM131" s="107">
        <v>0</v>
      </c>
      <c r="AN131" s="98">
        <v>0</v>
      </c>
      <c r="AO131" s="98">
        <v>0</v>
      </c>
      <c r="AP131" s="98">
        <v>0</v>
      </c>
      <c r="AQ131" s="98">
        <v>0</v>
      </c>
      <c r="AR131" s="99">
        <v>0</v>
      </c>
      <c r="AS131" s="100">
        <v>0</v>
      </c>
      <c r="AT131" s="101">
        <v>0</v>
      </c>
      <c r="AU131" s="102">
        <v>0</v>
      </c>
      <c r="AV131" s="103">
        <v>0</v>
      </c>
      <c r="AW131" s="104">
        <v>0</v>
      </c>
      <c r="AX131" s="104">
        <v>0</v>
      </c>
      <c r="AY131" s="105">
        <v>0</v>
      </c>
      <c r="AZ131" s="103">
        <v>0</v>
      </c>
      <c r="BA131" s="104">
        <v>0</v>
      </c>
      <c r="BB131" s="104">
        <v>0</v>
      </c>
      <c r="BC131" s="105">
        <v>0</v>
      </c>
      <c r="BD131" s="103">
        <v>0</v>
      </c>
      <c r="BE131" s="104">
        <v>0</v>
      </c>
      <c r="BF131" s="104">
        <v>0</v>
      </c>
      <c r="BG131" s="105">
        <v>0</v>
      </c>
      <c r="BH131" s="64">
        <f t="shared" si="4"/>
        <v>0</v>
      </c>
      <c r="BI131" s="106">
        <f t="shared" si="5"/>
        <v>0</v>
      </c>
    </row>
    <row r="132" spans="2:61">
      <c r="B132" s="89" t="s">
        <v>371</v>
      </c>
      <c r="C132" s="90">
        <f>'[1]LEA - Summary GASB75'!H132</f>
        <v>2044979</v>
      </c>
      <c r="D132" s="91">
        <f t="shared" si="3"/>
        <v>772975.47727300005</v>
      </c>
      <c r="E132" s="92">
        <v>2026458</v>
      </c>
      <c r="F132" s="93">
        <v>765975</v>
      </c>
      <c r="G132" s="94">
        <v>0.37798700000000002</v>
      </c>
      <c r="H132" s="94">
        <v>0.62201299999999993</v>
      </c>
      <c r="I132" s="100">
        <v>2026458</v>
      </c>
      <c r="J132" s="101">
        <v>765975</v>
      </c>
      <c r="K132" s="102">
        <v>1260483</v>
      </c>
      <c r="L132" s="100">
        <v>153769</v>
      </c>
      <c r="M132" s="101">
        <v>58123</v>
      </c>
      <c r="N132" s="101">
        <v>95646</v>
      </c>
      <c r="O132" s="100">
        <v>0</v>
      </c>
      <c r="P132" s="101">
        <v>0</v>
      </c>
      <c r="Q132" s="101">
        <v>0</v>
      </c>
      <c r="R132" s="100">
        <v>0</v>
      </c>
      <c r="S132" s="101">
        <v>0</v>
      </c>
      <c r="T132" s="101">
        <v>0</v>
      </c>
      <c r="U132" s="100">
        <v>0</v>
      </c>
      <c r="V132" s="101">
        <v>0</v>
      </c>
      <c r="W132" s="101">
        <v>0</v>
      </c>
      <c r="X132" s="100">
        <v>86822</v>
      </c>
      <c r="Y132" s="101">
        <v>32818</v>
      </c>
      <c r="Z132" s="101">
        <v>54004</v>
      </c>
      <c r="AA132" s="107">
        <v>-10336</v>
      </c>
      <c r="AB132" s="98">
        <v>-10336</v>
      </c>
      <c r="AC132" s="98">
        <v>-10336</v>
      </c>
      <c r="AD132" s="98">
        <v>-10336</v>
      </c>
      <c r="AE132" s="98">
        <v>-10336</v>
      </c>
      <c r="AF132" s="99">
        <v>-35142</v>
      </c>
      <c r="AG132" s="107">
        <v>-3906.8736320000003</v>
      </c>
      <c r="AH132" s="98">
        <v>-3906.8736320000003</v>
      </c>
      <c r="AI132" s="98">
        <v>-3906.8736320000003</v>
      </c>
      <c r="AJ132" s="98">
        <v>-3906.8736320000003</v>
      </c>
      <c r="AK132" s="98">
        <v>-3906.8736320000003</v>
      </c>
      <c r="AL132" s="99">
        <v>-13283.219154</v>
      </c>
      <c r="AM132" s="107">
        <v>-6429.1263679999993</v>
      </c>
      <c r="AN132" s="98">
        <v>-6429.1263679999993</v>
      </c>
      <c r="AO132" s="98">
        <v>-6429.1263679999993</v>
      </c>
      <c r="AP132" s="98">
        <v>-6429.1263679999993</v>
      </c>
      <c r="AQ132" s="98">
        <v>-6429.1263679999993</v>
      </c>
      <c r="AR132" s="99">
        <v>-21858.780846000001</v>
      </c>
      <c r="AS132" s="100">
        <v>-96374</v>
      </c>
      <c r="AT132" s="101">
        <v>-35160</v>
      </c>
      <c r="AU132" s="102">
        <v>-61214</v>
      </c>
      <c r="AV132" s="103">
        <v>2180082</v>
      </c>
      <c r="AW132" s="104">
        <v>1882572</v>
      </c>
      <c r="AX132" s="104">
        <v>1804721</v>
      </c>
      <c r="AY132" s="105">
        <v>2287970</v>
      </c>
      <c r="AZ132" s="103">
        <v>824043</v>
      </c>
      <c r="BA132" s="104">
        <v>711588</v>
      </c>
      <c r="BB132" s="104">
        <v>682161</v>
      </c>
      <c r="BC132" s="105">
        <v>864823</v>
      </c>
      <c r="BD132" s="103">
        <v>1356039</v>
      </c>
      <c r="BE132" s="104">
        <v>1170984</v>
      </c>
      <c r="BF132" s="104">
        <v>1122560</v>
      </c>
      <c r="BG132" s="105">
        <v>1423147</v>
      </c>
      <c r="BH132" s="64">
        <f t="shared" si="4"/>
        <v>-7000.477273000055</v>
      </c>
      <c r="BI132" s="106">
        <f t="shared" si="5"/>
        <v>-11520.522727000061</v>
      </c>
    </row>
    <row r="133" spans="2:61">
      <c r="B133" s="89" t="s">
        <v>372</v>
      </c>
      <c r="C133" s="90">
        <f>'[1]LEA - Summary GASB75'!H133</f>
        <v>1217902</v>
      </c>
      <c r="D133" s="91">
        <f t="shared" si="3"/>
        <v>399686.20675200003</v>
      </c>
      <c r="E133" s="92">
        <v>937312</v>
      </c>
      <c r="F133" s="93">
        <v>307603</v>
      </c>
      <c r="G133" s="94">
        <v>0.32817600000000002</v>
      </c>
      <c r="H133" s="94">
        <v>0.67182399999999998</v>
      </c>
      <c r="I133" s="100">
        <v>937312</v>
      </c>
      <c r="J133" s="101">
        <v>307603</v>
      </c>
      <c r="K133" s="102">
        <v>629709</v>
      </c>
      <c r="L133" s="100">
        <v>16724</v>
      </c>
      <c r="M133" s="101">
        <v>5488</v>
      </c>
      <c r="N133" s="101">
        <v>11236</v>
      </c>
      <c r="O133" s="100">
        <v>0</v>
      </c>
      <c r="P133" s="101">
        <v>0</v>
      </c>
      <c r="Q133" s="101">
        <v>0</v>
      </c>
      <c r="R133" s="100">
        <v>0</v>
      </c>
      <c r="S133" s="101">
        <v>0</v>
      </c>
      <c r="T133" s="101">
        <v>0</v>
      </c>
      <c r="U133" s="100">
        <v>0</v>
      </c>
      <c r="V133" s="101">
        <v>0</v>
      </c>
      <c r="W133" s="101">
        <v>0</v>
      </c>
      <c r="X133" s="100">
        <v>0</v>
      </c>
      <c r="Y133" s="101">
        <v>0</v>
      </c>
      <c r="Z133" s="101">
        <v>0</v>
      </c>
      <c r="AA133" s="107">
        <v>0</v>
      </c>
      <c r="AB133" s="98">
        <v>0</v>
      </c>
      <c r="AC133" s="98">
        <v>0</v>
      </c>
      <c r="AD133" s="98">
        <v>0</v>
      </c>
      <c r="AE133" s="98">
        <v>0</v>
      </c>
      <c r="AF133" s="99">
        <v>0</v>
      </c>
      <c r="AG133" s="107">
        <v>0</v>
      </c>
      <c r="AH133" s="98">
        <v>0</v>
      </c>
      <c r="AI133" s="98">
        <v>0</v>
      </c>
      <c r="AJ133" s="98">
        <v>0</v>
      </c>
      <c r="AK133" s="98">
        <v>0</v>
      </c>
      <c r="AL133" s="99">
        <v>0</v>
      </c>
      <c r="AM133" s="107">
        <v>0</v>
      </c>
      <c r="AN133" s="98">
        <v>0</v>
      </c>
      <c r="AO133" s="98">
        <v>0</v>
      </c>
      <c r="AP133" s="98">
        <v>0</v>
      </c>
      <c r="AQ133" s="98">
        <v>0</v>
      </c>
      <c r="AR133" s="99">
        <v>0</v>
      </c>
      <c r="AS133" s="100">
        <v>-294979</v>
      </c>
      <c r="AT133" s="101">
        <v>-101587</v>
      </c>
      <c r="AU133" s="102">
        <v>-193392</v>
      </c>
      <c r="AV133" s="103">
        <v>960509</v>
      </c>
      <c r="AW133" s="104">
        <v>915304</v>
      </c>
      <c r="AX133" s="104">
        <v>915872</v>
      </c>
      <c r="AY133" s="105">
        <v>959594</v>
      </c>
      <c r="AZ133" s="103">
        <v>315216</v>
      </c>
      <c r="BA133" s="104">
        <v>300381</v>
      </c>
      <c r="BB133" s="104">
        <v>300567</v>
      </c>
      <c r="BC133" s="105">
        <v>314916</v>
      </c>
      <c r="BD133" s="103">
        <v>645293</v>
      </c>
      <c r="BE133" s="104">
        <v>614923</v>
      </c>
      <c r="BF133" s="104">
        <v>615305</v>
      </c>
      <c r="BG133" s="105">
        <v>644678</v>
      </c>
      <c r="BH133" s="64">
        <f t="shared" si="4"/>
        <v>-92083.206752000027</v>
      </c>
      <c r="BI133" s="106">
        <f t="shared" si="5"/>
        <v>-188506.79324799997</v>
      </c>
    </row>
    <row r="134" spans="2:61">
      <c r="B134" s="89" t="s">
        <v>373</v>
      </c>
      <c r="C134" s="90">
        <f>'[1]LEA - Summary GASB75'!H134</f>
        <v>12211818</v>
      </c>
      <c r="D134" s="91">
        <f t="shared" ref="D134:D150" si="6">C134*G134</f>
        <v>4172656.0924200001</v>
      </c>
      <c r="E134" s="92">
        <v>12341926</v>
      </c>
      <c r="F134" s="93">
        <v>4217111</v>
      </c>
      <c r="G134" s="94">
        <v>0.34168999999999999</v>
      </c>
      <c r="H134" s="94">
        <v>0.65830999999999995</v>
      </c>
      <c r="I134" s="100">
        <v>12341926</v>
      </c>
      <c r="J134" s="101">
        <v>4217113</v>
      </c>
      <c r="K134" s="102">
        <v>8124813</v>
      </c>
      <c r="L134" s="100">
        <v>1092316</v>
      </c>
      <c r="M134" s="101">
        <v>373233</v>
      </c>
      <c r="N134" s="101">
        <v>719083</v>
      </c>
      <c r="O134" s="100">
        <v>0</v>
      </c>
      <c r="P134" s="101">
        <v>0</v>
      </c>
      <c r="Q134" s="101">
        <v>0</v>
      </c>
      <c r="R134" s="100">
        <v>0</v>
      </c>
      <c r="S134" s="101">
        <v>0</v>
      </c>
      <c r="T134" s="101">
        <v>0</v>
      </c>
      <c r="U134" s="100">
        <v>0</v>
      </c>
      <c r="V134" s="101">
        <v>0</v>
      </c>
      <c r="W134" s="101">
        <v>0</v>
      </c>
      <c r="X134" s="100">
        <v>570076</v>
      </c>
      <c r="Y134" s="101">
        <v>194789</v>
      </c>
      <c r="Z134" s="101">
        <v>375287</v>
      </c>
      <c r="AA134" s="107">
        <v>-61298</v>
      </c>
      <c r="AB134" s="98">
        <v>-61298</v>
      </c>
      <c r="AC134" s="98">
        <v>-61298</v>
      </c>
      <c r="AD134" s="98">
        <v>-61298</v>
      </c>
      <c r="AE134" s="98">
        <v>-61298</v>
      </c>
      <c r="AF134" s="99">
        <v>-263586</v>
      </c>
      <c r="AG134" s="107">
        <v>-20944.913619999999</v>
      </c>
      <c r="AH134" s="98">
        <v>-20944.913619999999</v>
      </c>
      <c r="AI134" s="98">
        <v>-20944.913619999999</v>
      </c>
      <c r="AJ134" s="98">
        <v>-20944.913619999999</v>
      </c>
      <c r="AK134" s="98">
        <v>-20944.913619999999</v>
      </c>
      <c r="AL134" s="99">
        <v>-90064.700339999996</v>
      </c>
      <c r="AM134" s="107">
        <v>-40353.086380000001</v>
      </c>
      <c r="AN134" s="98">
        <v>-40353.086380000001</v>
      </c>
      <c r="AO134" s="98">
        <v>-40353.086380000001</v>
      </c>
      <c r="AP134" s="98">
        <v>-40353.086380000001</v>
      </c>
      <c r="AQ134" s="98">
        <v>-40353.086380000001</v>
      </c>
      <c r="AR134" s="99">
        <v>-173521.29966000002</v>
      </c>
      <c r="AS134" s="100">
        <v>-460065</v>
      </c>
      <c r="AT134" s="101">
        <v>-145122</v>
      </c>
      <c r="AU134" s="102">
        <v>-314943</v>
      </c>
      <c r="AV134" s="103">
        <v>13336960</v>
      </c>
      <c r="AW134" s="104">
        <v>11395957</v>
      </c>
      <c r="AX134" s="104">
        <v>10781280</v>
      </c>
      <c r="AY134" s="105">
        <v>14211069</v>
      </c>
      <c r="AZ134" s="103">
        <v>4557106</v>
      </c>
      <c r="BA134" s="104">
        <v>3893885</v>
      </c>
      <c r="BB134" s="104">
        <v>3683856</v>
      </c>
      <c r="BC134" s="105">
        <v>4855780</v>
      </c>
      <c r="BD134" s="103">
        <v>8779854</v>
      </c>
      <c r="BE134" s="104">
        <v>7502072</v>
      </c>
      <c r="BF134" s="104">
        <v>7097424</v>
      </c>
      <c r="BG134" s="105">
        <v>9355289</v>
      </c>
      <c r="BH134" s="64">
        <f t="shared" ref="BH134:BH150" si="7">F134-D134</f>
        <v>44454.907579999883</v>
      </c>
      <c r="BI134" s="106">
        <f t="shared" ref="BI134:BI150" si="8">(E134-F134)-(C134-D134)</f>
        <v>85653.092420000583</v>
      </c>
    </row>
    <row r="135" spans="2:61">
      <c r="B135" s="89" t="s">
        <v>374</v>
      </c>
      <c r="C135" s="90">
        <f>'[1]LEA - Summary GASB75'!H135</f>
        <v>0</v>
      </c>
      <c r="D135" s="91">
        <f t="shared" si="6"/>
        <v>0</v>
      </c>
      <c r="E135" s="92">
        <v>0</v>
      </c>
      <c r="F135" s="93">
        <v>0</v>
      </c>
      <c r="G135" s="94">
        <v>0</v>
      </c>
      <c r="H135" s="94">
        <v>1</v>
      </c>
      <c r="I135" s="100">
        <v>0</v>
      </c>
      <c r="J135" s="101">
        <v>0</v>
      </c>
      <c r="K135" s="102">
        <v>0</v>
      </c>
      <c r="L135" s="100">
        <v>0</v>
      </c>
      <c r="M135" s="101">
        <v>0</v>
      </c>
      <c r="N135" s="101">
        <v>0</v>
      </c>
      <c r="O135" s="100">
        <v>0</v>
      </c>
      <c r="P135" s="101">
        <v>0</v>
      </c>
      <c r="Q135" s="101">
        <v>0</v>
      </c>
      <c r="R135" s="100">
        <v>0</v>
      </c>
      <c r="S135" s="101">
        <v>0</v>
      </c>
      <c r="T135" s="101">
        <v>0</v>
      </c>
      <c r="U135" s="100">
        <v>0</v>
      </c>
      <c r="V135" s="101">
        <v>0</v>
      </c>
      <c r="W135" s="101">
        <v>0</v>
      </c>
      <c r="X135" s="100">
        <v>0</v>
      </c>
      <c r="Y135" s="101">
        <v>0</v>
      </c>
      <c r="Z135" s="101">
        <v>0</v>
      </c>
      <c r="AA135" s="107">
        <v>0</v>
      </c>
      <c r="AB135" s="98">
        <v>0</v>
      </c>
      <c r="AC135" s="98">
        <v>0</v>
      </c>
      <c r="AD135" s="98">
        <v>0</v>
      </c>
      <c r="AE135" s="98">
        <v>0</v>
      </c>
      <c r="AF135" s="99">
        <v>0</v>
      </c>
      <c r="AG135" s="107">
        <v>0</v>
      </c>
      <c r="AH135" s="98">
        <v>0</v>
      </c>
      <c r="AI135" s="98">
        <v>0</v>
      </c>
      <c r="AJ135" s="98">
        <v>0</v>
      </c>
      <c r="AK135" s="98">
        <v>0</v>
      </c>
      <c r="AL135" s="99">
        <v>0</v>
      </c>
      <c r="AM135" s="107">
        <v>0</v>
      </c>
      <c r="AN135" s="98">
        <v>0</v>
      </c>
      <c r="AO135" s="98">
        <v>0</v>
      </c>
      <c r="AP135" s="98">
        <v>0</v>
      </c>
      <c r="AQ135" s="98">
        <v>0</v>
      </c>
      <c r="AR135" s="99">
        <v>0</v>
      </c>
      <c r="AS135" s="100">
        <v>0</v>
      </c>
      <c r="AT135" s="101">
        <v>0</v>
      </c>
      <c r="AU135" s="102">
        <v>0</v>
      </c>
      <c r="AV135" s="103">
        <v>0</v>
      </c>
      <c r="AW135" s="104">
        <v>0</v>
      </c>
      <c r="AX135" s="104">
        <v>0</v>
      </c>
      <c r="AY135" s="105">
        <v>0</v>
      </c>
      <c r="AZ135" s="103">
        <v>0</v>
      </c>
      <c r="BA135" s="104">
        <v>0</v>
      </c>
      <c r="BB135" s="104">
        <v>0</v>
      </c>
      <c r="BC135" s="105">
        <v>0</v>
      </c>
      <c r="BD135" s="103">
        <v>0</v>
      </c>
      <c r="BE135" s="104">
        <v>0</v>
      </c>
      <c r="BF135" s="104">
        <v>0</v>
      </c>
      <c r="BG135" s="105">
        <v>0</v>
      </c>
      <c r="BH135" s="64">
        <f t="shared" si="7"/>
        <v>0</v>
      </c>
      <c r="BI135" s="106">
        <f t="shared" si="8"/>
        <v>0</v>
      </c>
    </row>
    <row r="136" spans="2:61">
      <c r="B136" s="89" t="s">
        <v>375</v>
      </c>
      <c r="C136" s="90">
        <f>'[1]LEA - Summary GASB75'!H136</f>
        <v>0</v>
      </c>
      <c r="D136" s="91">
        <f t="shared" si="6"/>
        <v>0</v>
      </c>
      <c r="E136" s="92">
        <v>0</v>
      </c>
      <c r="F136" s="93">
        <v>0</v>
      </c>
      <c r="G136" s="94">
        <v>0</v>
      </c>
      <c r="H136" s="94">
        <v>1</v>
      </c>
      <c r="I136" s="100">
        <v>0</v>
      </c>
      <c r="J136" s="101">
        <v>0</v>
      </c>
      <c r="K136" s="102">
        <v>0</v>
      </c>
      <c r="L136" s="100">
        <v>0</v>
      </c>
      <c r="M136" s="101">
        <v>0</v>
      </c>
      <c r="N136" s="101">
        <v>0</v>
      </c>
      <c r="O136" s="100">
        <v>0</v>
      </c>
      <c r="P136" s="101">
        <v>0</v>
      </c>
      <c r="Q136" s="101">
        <v>0</v>
      </c>
      <c r="R136" s="100">
        <v>0</v>
      </c>
      <c r="S136" s="101">
        <v>0</v>
      </c>
      <c r="T136" s="101">
        <v>0</v>
      </c>
      <c r="U136" s="100">
        <v>0</v>
      </c>
      <c r="V136" s="101">
        <v>0</v>
      </c>
      <c r="W136" s="101">
        <v>0</v>
      </c>
      <c r="X136" s="100">
        <v>0</v>
      </c>
      <c r="Y136" s="101">
        <v>0</v>
      </c>
      <c r="Z136" s="101">
        <v>0</v>
      </c>
      <c r="AA136" s="107">
        <v>0</v>
      </c>
      <c r="AB136" s="98">
        <v>0</v>
      </c>
      <c r="AC136" s="98">
        <v>0</v>
      </c>
      <c r="AD136" s="98">
        <v>0</v>
      </c>
      <c r="AE136" s="98">
        <v>0</v>
      </c>
      <c r="AF136" s="99">
        <v>0</v>
      </c>
      <c r="AG136" s="107">
        <v>0</v>
      </c>
      <c r="AH136" s="98">
        <v>0</v>
      </c>
      <c r="AI136" s="98">
        <v>0</v>
      </c>
      <c r="AJ136" s="98">
        <v>0</v>
      </c>
      <c r="AK136" s="98">
        <v>0</v>
      </c>
      <c r="AL136" s="99">
        <v>0</v>
      </c>
      <c r="AM136" s="107">
        <v>0</v>
      </c>
      <c r="AN136" s="98">
        <v>0</v>
      </c>
      <c r="AO136" s="98">
        <v>0</v>
      </c>
      <c r="AP136" s="98">
        <v>0</v>
      </c>
      <c r="AQ136" s="98">
        <v>0</v>
      </c>
      <c r="AR136" s="99">
        <v>0</v>
      </c>
      <c r="AS136" s="100">
        <v>0</v>
      </c>
      <c r="AT136" s="101">
        <v>0</v>
      </c>
      <c r="AU136" s="102">
        <v>0</v>
      </c>
      <c r="AV136" s="103">
        <v>0</v>
      </c>
      <c r="AW136" s="104">
        <v>0</v>
      </c>
      <c r="AX136" s="104">
        <v>0</v>
      </c>
      <c r="AY136" s="105">
        <v>0</v>
      </c>
      <c r="AZ136" s="103">
        <v>0</v>
      </c>
      <c r="BA136" s="104">
        <v>0</v>
      </c>
      <c r="BB136" s="104">
        <v>0</v>
      </c>
      <c r="BC136" s="105">
        <v>0</v>
      </c>
      <c r="BD136" s="103">
        <v>0</v>
      </c>
      <c r="BE136" s="104">
        <v>0</v>
      </c>
      <c r="BF136" s="104">
        <v>0</v>
      </c>
      <c r="BG136" s="105">
        <v>0</v>
      </c>
      <c r="BH136" s="64">
        <f t="shared" si="7"/>
        <v>0</v>
      </c>
      <c r="BI136" s="106">
        <f t="shared" si="8"/>
        <v>0</v>
      </c>
    </row>
    <row r="137" spans="2:61">
      <c r="B137" s="89" t="s">
        <v>376</v>
      </c>
      <c r="C137" s="90">
        <f>'[1]LEA - Summary GASB75'!H137</f>
        <v>0</v>
      </c>
      <c r="D137" s="91">
        <f t="shared" si="6"/>
        <v>0</v>
      </c>
      <c r="E137" s="92">
        <v>0</v>
      </c>
      <c r="F137" s="93">
        <v>0</v>
      </c>
      <c r="G137" s="94">
        <v>0</v>
      </c>
      <c r="H137" s="94">
        <v>1</v>
      </c>
      <c r="I137" s="100">
        <v>0</v>
      </c>
      <c r="J137" s="101">
        <v>0</v>
      </c>
      <c r="K137" s="102">
        <v>0</v>
      </c>
      <c r="L137" s="100">
        <v>0</v>
      </c>
      <c r="M137" s="101">
        <v>0</v>
      </c>
      <c r="N137" s="101">
        <v>0</v>
      </c>
      <c r="O137" s="100">
        <v>0</v>
      </c>
      <c r="P137" s="101">
        <v>0</v>
      </c>
      <c r="Q137" s="101">
        <v>0</v>
      </c>
      <c r="R137" s="100">
        <v>0</v>
      </c>
      <c r="S137" s="101">
        <v>0</v>
      </c>
      <c r="T137" s="101">
        <v>0</v>
      </c>
      <c r="U137" s="100">
        <v>0</v>
      </c>
      <c r="V137" s="101">
        <v>0</v>
      </c>
      <c r="W137" s="101">
        <v>0</v>
      </c>
      <c r="X137" s="100">
        <v>0</v>
      </c>
      <c r="Y137" s="101">
        <v>0</v>
      </c>
      <c r="Z137" s="101">
        <v>0</v>
      </c>
      <c r="AA137" s="107">
        <v>0</v>
      </c>
      <c r="AB137" s="98">
        <v>0</v>
      </c>
      <c r="AC137" s="98">
        <v>0</v>
      </c>
      <c r="AD137" s="98">
        <v>0</v>
      </c>
      <c r="AE137" s="98">
        <v>0</v>
      </c>
      <c r="AF137" s="99">
        <v>0</v>
      </c>
      <c r="AG137" s="107">
        <v>0</v>
      </c>
      <c r="AH137" s="98">
        <v>0</v>
      </c>
      <c r="AI137" s="98">
        <v>0</v>
      </c>
      <c r="AJ137" s="98">
        <v>0</v>
      </c>
      <c r="AK137" s="98">
        <v>0</v>
      </c>
      <c r="AL137" s="99">
        <v>0</v>
      </c>
      <c r="AM137" s="107">
        <v>0</v>
      </c>
      <c r="AN137" s="98">
        <v>0</v>
      </c>
      <c r="AO137" s="98">
        <v>0</v>
      </c>
      <c r="AP137" s="98">
        <v>0</v>
      </c>
      <c r="AQ137" s="98">
        <v>0</v>
      </c>
      <c r="AR137" s="99">
        <v>0</v>
      </c>
      <c r="AS137" s="100">
        <v>0</v>
      </c>
      <c r="AT137" s="101">
        <v>0</v>
      </c>
      <c r="AU137" s="102">
        <v>0</v>
      </c>
      <c r="AV137" s="103">
        <v>0</v>
      </c>
      <c r="AW137" s="104">
        <v>0</v>
      </c>
      <c r="AX137" s="104">
        <v>0</v>
      </c>
      <c r="AY137" s="105">
        <v>0</v>
      </c>
      <c r="AZ137" s="103">
        <v>0</v>
      </c>
      <c r="BA137" s="104">
        <v>0</v>
      </c>
      <c r="BB137" s="104">
        <v>0</v>
      </c>
      <c r="BC137" s="105">
        <v>0</v>
      </c>
      <c r="BD137" s="103">
        <v>0</v>
      </c>
      <c r="BE137" s="104">
        <v>0</v>
      </c>
      <c r="BF137" s="104">
        <v>0</v>
      </c>
      <c r="BG137" s="105">
        <v>0</v>
      </c>
      <c r="BH137" s="64">
        <f t="shared" si="7"/>
        <v>0</v>
      </c>
      <c r="BI137" s="106">
        <f t="shared" si="8"/>
        <v>0</v>
      </c>
    </row>
    <row r="138" spans="2:61">
      <c r="B138" s="89" t="s">
        <v>377</v>
      </c>
      <c r="C138" s="90">
        <f>'[1]LEA - Summary GASB75'!H138</f>
        <v>1303019</v>
      </c>
      <c r="D138" s="91">
        <f t="shared" si="6"/>
        <v>466707.527306</v>
      </c>
      <c r="E138" s="92">
        <v>1279160</v>
      </c>
      <c r="F138" s="93">
        <v>458162</v>
      </c>
      <c r="G138" s="94">
        <v>0.35817399999999999</v>
      </c>
      <c r="H138" s="94">
        <v>0.64182600000000001</v>
      </c>
      <c r="I138" s="100">
        <v>1279160</v>
      </c>
      <c r="J138" s="101">
        <v>458162</v>
      </c>
      <c r="K138" s="102">
        <v>820998</v>
      </c>
      <c r="L138" s="100">
        <v>110294</v>
      </c>
      <c r="M138" s="101">
        <v>39504</v>
      </c>
      <c r="N138" s="101">
        <v>70790</v>
      </c>
      <c r="O138" s="100">
        <v>0</v>
      </c>
      <c r="P138" s="101">
        <v>0</v>
      </c>
      <c r="Q138" s="101">
        <v>0</v>
      </c>
      <c r="R138" s="100">
        <v>0</v>
      </c>
      <c r="S138" s="101">
        <v>0</v>
      </c>
      <c r="T138" s="101">
        <v>0</v>
      </c>
      <c r="U138" s="100">
        <v>0</v>
      </c>
      <c r="V138" s="101">
        <v>0</v>
      </c>
      <c r="W138" s="101">
        <v>0</v>
      </c>
      <c r="X138" s="100">
        <v>61515</v>
      </c>
      <c r="Y138" s="101">
        <v>22033</v>
      </c>
      <c r="Z138" s="101">
        <v>39482</v>
      </c>
      <c r="AA138" s="107">
        <v>-5972</v>
      </c>
      <c r="AB138" s="98">
        <v>-5972</v>
      </c>
      <c r="AC138" s="98">
        <v>-5972</v>
      </c>
      <c r="AD138" s="98">
        <v>-5972</v>
      </c>
      <c r="AE138" s="98">
        <v>-5972</v>
      </c>
      <c r="AF138" s="99">
        <v>-31655</v>
      </c>
      <c r="AG138" s="107">
        <v>-2139.015128</v>
      </c>
      <c r="AH138" s="98">
        <v>-2139.015128</v>
      </c>
      <c r="AI138" s="98">
        <v>-2139.015128</v>
      </c>
      <c r="AJ138" s="98">
        <v>-2139.015128</v>
      </c>
      <c r="AK138" s="98">
        <v>-2139.015128</v>
      </c>
      <c r="AL138" s="99">
        <v>-11337.99797</v>
      </c>
      <c r="AM138" s="107">
        <v>-3832.984872</v>
      </c>
      <c r="AN138" s="98">
        <v>-3832.984872</v>
      </c>
      <c r="AO138" s="98">
        <v>-3832.984872</v>
      </c>
      <c r="AP138" s="98">
        <v>-3832.984872</v>
      </c>
      <c r="AQ138" s="98">
        <v>-3832.984872</v>
      </c>
      <c r="AR138" s="99">
        <v>-20317.00203</v>
      </c>
      <c r="AS138" s="100">
        <v>-75381</v>
      </c>
      <c r="AT138" s="101">
        <v>-28569</v>
      </c>
      <c r="AU138" s="102">
        <v>-46812</v>
      </c>
      <c r="AV138" s="103">
        <v>1385588</v>
      </c>
      <c r="AW138" s="104">
        <v>1179013</v>
      </c>
      <c r="AX138" s="104">
        <v>1120337</v>
      </c>
      <c r="AY138" s="105">
        <v>1471823</v>
      </c>
      <c r="AZ138" s="103">
        <v>496282</v>
      </c>
      <c r="BA138" s="104">
        <v>422292</v>
      </c>
      <c r="BB138" s="104">
        <v>401276</v>
      </c>
      <c r="BC138" s="105">
        <v>527169</v>
      </c>
      <c r="BD138" s="103">
        <v>889306</v>
      </c>
      <c r="BE138" s="104">
        <v>756721</v>
      </c>
      <c r="BF138" s="104">
        <v>719061</v>
      </c>
      <c r="BG138" s="105">
        <v>944654</v>
      </c>
      <c r="BH138" s="64">
        <f t="shared" si="7"/>
        <v>-8545.5273060000036</v>
      </c>
      <c r="BI138" s="106">
        <f t="shared" si="8"/>
        <v>-15313.472693999996</v>
      </c>
    </row>
    <row r="139" spans="2:61">
      <c r="B139" s="89" t="s">
        <v>378</v>
      </c>
      <c r="C139" s="90">
        <f>'[1]LEA - Summary GASB75'!H139</f>
        <v>6766947</v>
      </c>
      <c r="D139" s="91">
        <f t="shared" si="6"/>
        <v>2090100.152943</v>
      </c>
      <c r="E139" s="92">
        <v>6761347</v>
      </c>
      <c r="F139" s="93">
        <v>2088369</v>
      </c>
      <c r="G139" s="94">
        <v>0.308869</v>
      </c>
      <c r="H139" s="94">
        <v>0.69113099999999994</v>
      </c>
      <c r="I139" s="100">
        <v>6761347</v>
      </c>
      <c r="J139" s="101">
        <v>2088370</v>
      </c>
      <c r="K139" s="102">
        <v>4672977</v>
      </c>
      <c r="L139" s="100">
        <v>609505</v>
      </c>
      <c r="M139" s="101">
        <v>188257</v>
      </c>
      <c r="N139" s="101">
        <v>421248</v>
      </c>
      <c r="O139" s="100">
        <v>0</v>
      </c>
      <c r="P139" s="101">
        <v>0</v>
      </c>
      <c r="Q139" s="101">
        <v>0</v>
      </c>
      <c r="R139" s="100">
        <v>0</v>
      </c>
      <c r="S139" s="101">
        <v>0</v>
      </c>
      <c r="T139" s="101">
        <v>0</v>
      </c>
      <c r="U139" s="100">
        <v>0</v>
      </c>
      <c r="V139" s="101">
        <v>0</v>
      </c>
      <c r="W139" s="101">
        <v>0</v>
      </c>
      <c r="X139" s="100">
        <v>257814</v>
      </c>
      <c r="Y139" s="101">
        <v>79631</v>
      </c>
      <c r="Z139" s="101">
        <v>178183</v>
      </c>
      <c r="AA139" s="107">
        <v>-30692</v>
      </c>
      <c r="AB139" s="98">
        <v>-30692</v>
      </c>
      <c r="AC139" s="98">
        <v>-30692</v>
      </c>
      <c r="AD139" s="98">
        <v>-30692</v>
      </c>
      <c r="AE139" s="98">
        <v>-30692</v>
      </c>
      <c r="AF139" s="99">
        <v>-104354</v>
      </c>
      <c r="AG139" s="107">
        <v>-9479.8073480000003</v>
      </c>
      <c r="AH139" s="98">
        <v>-9479.8073480000003</v>
      </c>
      <c r="AI139" s="98">
        <v>-9479.8073480000003</v>
      </c>
      <c r="AJ139" s="98">
        <v>-9479.8073480000003</v>
      </c>
      <c r="AK139" s="98">
        <v>-9479.8073480000003</v>
      </c>
      <c r="AL139" s="99">
        <v>-32231.715626000001</v>
      </c>
      <c r="AM139" s="107">
        <v>-21212.192651999998</v>
      </c>
      <c r="AN139" s="98">
        <v>-21212.192651999998</v>
      </c>
      <c r="AO139" s="98">
        <v>-21212.192651999998</v>
      </c>
      <c r="AP139" s="98">
        <v>-21212.192651999998</v>
      </c>
      <c r="AQ139" s="98">
        <v>-21212.192651999998</v>
      </c>
      <c r="AR139" s="99">
        <v>-72122.284373999995</v>
      </c>
      <c r="AS139" s="100">
        <v>-397801</v>
      </c>
      <c r="AT139" s="101">
        <v>-100361</v>
      </c>
      <c r="AU139" s="102">
        <v>-297440</v>
      </c>
      <c r="AV139" s="103">
        <v>7214007</v>
      </c>
      <c r="AW139" s="104">
        <v>6326690</v>
      </c>
      <c r="AX139" s="104">
        <v>6032736</v>
      </c>
      <c r="AY139" s="105">
        <v>7621375</v>
      </c>
      <c r="AZ139" s="103">
        <v>2228183</v>
      </c>
      <c r="BA139" s="104">
        <v>1954118</v>
      </c>
      <c r="BB139" s="104">
        <v>1863325</v>
      </c>
      <c r="BC139" s="105">
        <v>2354006</v>
      </c>
      <c r="BD139" s="103">
        <v>4985824</v>
      </c>
      <c r="BE139" s="104">
        <v>4372572</v>
      </c>
      <c r="BF139" s="104">
        <v>4169411</v>
      </c>
      <c r="BG139" s="105">
        <v>5267369</v>
      </c>
      <c r="BH139" s="64">
        <f t="shared" si="7"/>
        <v>-1731.1529429999646</v>
      </c>
      <c r="BI139" s="106">
        <f t="shared" si="8"/>
        <v>-3868.8470569998026</v>
      </c>
    </row>
    <row r="140" spans="2:61">
      <c r="B140" s="89" t="s">
        <v>379</v>
      </c>
      <c r="C140" s="90">
        <f>'[1]LEA - Summary GASB75'!H140</f>
        <v>3550658</v>
      </c>
      <c r="D140" s="91">
        <f t="shared" si="6"/>
        <v>1257238.288588</v>
      </c>
      <c r="E140" s="92">
        <v>3529934</v>
      </c>
      <c r="F140" s="93">
        <v>1249900</v>
      </c>
      <c r="G140" s="94">
        <v>0.35408600000000001</v>
      </c>
      <c r="H140" s="94">
        <v>0.64591399999999999</v>
      </c>
      <c r="I140" s="100">
        <v>3529934</v>
      </c>
      <c r="J140" s="101">
        <v>1249900</v>
      </c>
      <c r="K140" s="102">
        <v>2280034</v>
      </c>
      <c r="L140" s="100">
        <v>311382</v>
      </c>
      <c r="M140" s="101">
        <v>110256</v>
      </c>
      <c r="N140" s="101">
        <v>201126</v>
      </c>
      <c r="O140" s="100">
        <v>0</v>
      </c>
      <c r="P140" s="101">
        <v>0</v>
      </c>
      <c r="Q140" s="101">
        <v>0</v>
      </c>
      <c r="R140" s="100">
        <v>0</v>
      </c>
      <c r="S140" s="101">
        <v>0</v>
      </c>
      <c r="T140" s="101">
        <v>0</v>
      </c>
      <c r="U140" s="100">
        <v>0</v>
      </c>
      <c r="V140" s="101">
        <v>0</v>
      </c>
      <c r="W140" s="101">
        <v>0</v>
      </c>
      <c r="X140" s="100">
        <v>155045</v>
      </c>
      <c r="Y140" s="101">
        <v>54899</v>
      </c>
      <c r="Z140" s="101">
        <v>100146</v>
      </c>
      <c r="AA140" s="107">
        <v>-16321</v>
      </c>
      <c r="AB140" s="98">
        <v>-16321</v>
      </c>
      <c r="AC140" s="98">
        <v>-16321</v>
      </c>
      <c r="AD140" s="98">
        <v>-16321</v>
      </c>
      <c r="AE140" s="98">
        <v>-16321</v>
      </c>
      <c r="AF140" s="99">
        <v>-73440</v>
      </c>
      <c r="AG140" s="107">
        <v>-5779.0376059999999</v>
      </c>
      <c r="AH140" s="98">
        <v>-5779.0376059999999</v>
      </c>
      <c r="AI140" s="98">
        <v>-5779.0376059999999</v>
      </c>
      <c r="AJ140" s="98">
        <v>-5779.0376059999999</v>
      </c>
      <c r="AK140" s="98">
        <v>-5779.0376059999999</v>
      </c>
      <c r="AL140" s="99">
        <v>-26004.075840000001</v>
      </c>
      <c r="AM140" s="107">
        <v>-10541.962394</v>
      </c>
      <c r="AN140" s="98">
        <v>-10541.962394</v>
      </c>
      <c r="AO140" s="98">
        <v>-10541.962394</v>
      </c>
      <c r="AP140" s="98">
        <v>-10541.962394</v>
      </c>
      <c r="AQ140" s="98">
        <v>-10541.962394</v>
      </c>
      <c r="AR140" s="99">
        <v>-47435.924159999995</v>
      </c>
      <c r="AS140" s="100">
        <v>-183131</v>
      </c>
      <c r="AT140" s="101">
        <v>-62770</v>
      </c>
      <c r="AU140" s="102">
        <v>-120361</v>
      </c>
      <c r="AV140" s="103">
        <v>3800525</v>
      </c>
      <c r="AW140" s="104">
        <v>3272262</v>
      </c>
      <c r="AX140" s="104">
        <v>3108688</v>
      </c>
      <c r="AY140" s="105">
        <v>4034329</v>
      </c>
      <c r="AZ140" s="103">
        <v>1345713</v>
      </c>
      <c r="BA140" s="104">
        <v>1158662</v>
      </c>
      <c r="BB140" s="104">
        <v>1100743</v>
      </c>
      <c r="BC140" s="105">
        <v>1428499</v>
      </c>
      <c r="BD140" s="103">
        <v>2454812</v>
      </c>
      <c r="BE140" s="104">
        <v>2113600</v>
      </c>
      <c r="BF140" s="104">
        <v>2007945</v>
      </c>
      <c r="BG140" s="105">
        <v>2605830</v>
      </c>
      <c r="BH140" s="64">
        <f t="shared" si="7"/>
        <v>-7338.2885879999958</v>
      </c>
      <c r="BI140" s="106">
        <f t="shared" si="8"/>
        <v>-13385.711412000004</v>
      </c>
    </row>
    <row r="141" spans="2:61">
      <c r="B141" s="89" t="s">
        <v>380</v>
      </c>
      <c r="C141" s="90">
        <f>'[1]LEA - Summary GASB75'!H141</f>
        <v>1646201</v>
      </c>
      <c r="D141" s="91">
        <f t="shared" si="6"/>
        <v>562888.80033200001</v>
      </c>
      <c r="E141" s="92">
        <v>1638246</v>
      </c>
      <c r="F141" s="93">
        <v>560169</v>
      </c>
      <c r="G141" s="94">
        <v>0.34193200000000001</v>
      </c>
      <c r="H141" s="94">
        <v>0.65806799999999999</v>
      </c>
      <c r="I141" s="100">
        <v>1638246</v>
      </c>
      <c r="J141" s="101">
        <v>560169</v>
      </c>
      <c r="K141" s="102">
        <v>1078077</v>
      </c>
      <c r="L141" s="100">
        <v>148386</v>
      </c>
      <c r="M141" s="101">
        <v>50738</v>
      </c>
      <c r="N141" s="101">
        <v>97648</v>
      </c>
      <c r="O141" s="100">
        <v>0</v>
      </c>
      <c r="P141" s="101">
        <v>0</v>
      </c>
      <c r="Q141" s="101">
        <v>0</v>
      </c>
      <c r="R141" s="100">
        <v>0</v>
      </c>
      <c r="S141" s="101">
        <v>0</v>
      </c>
      <c r="T141" s="101">
        <v>0</v>
      </c>
      <c r="U141" s="100">
        <v>0</v>
      </c>
      <c r="V141" s="101">
        <v>0</v>
      </c>
      <c r="W141" s="101">
        <v>0</v>
      </c>
      <c r="X141" s="100">
        <v>73749</v>
      </c>
      <c r="Y141" s="101">
        <v>25217</v>
      </c>
      <c r="Z141" s="101">
        <v>48532</v>
      </c>
      <c r="AA141" s="107">
        <v>-7230</v>
      </c>
      <c r="AB141" s="98">
        <v>-7230</v>
      </c>
      <c r="AC141" s="98">
        <v>-7230</v>
      </c>
      <c r="AD141" s="98">
        <v>-7230</v>
      </c>
      <c r="AE141" s="98">
        <v>-7230</v>
      </c>
      <c r="AF141" s="99">
        <v>-37599</v>
      </c>
      <c r="AG141" s="107">
        <v>-2472.1683600000001</v>
      </c>
      <c r="AH141" s="98">
        <v>-2472.1683600000001</v>
      </c>
      <c r="AI141" s="98">
        <v>-2472.1683600000001</v>
      </c>
      <c r="AJ141" s="98">
        <v>-2472.1683600000001</v>
      </c>
      <c r="AK141" s="98">
        <v>-2472.1683600000001</v>
      </c>
      <c r="AL141" s="99">
        <v>-12856.301268000001</v>
      </c>
      <c r="AM141" s="107">
        <v>-4757.8316400000003</v>
      </c>
      <c r="AN141" s="98">
        <v>-4757.8316400000003</v>
      </c>
      <c r="AO141" s="98">
        <v>-4757.8316400000003</v>
      </c>
      <c r="AP141" s="98">
        <v>-4757.8316400000003</v>
      </c>
      <c r="AQ141" s="98">
        <v>-4757.8316400000003</v>
      </c>
      <c r="AR141" s="99">
        <v>-24742.698731999997</v>
      </c>
      <c r="AS141" s="100">
        <v>-85270</v>
      </c>
      <c r="AT141" s="101">
        <v>-27676</v>
      </c>
      <c r="AU141" s="102">
        <v>-57594</v>
      </c>
      <c r="AV141" s="103">
        <v>1765706</v>
      </c>
      <c r="AW141" s="104">
        <v>1517225</v>
      </c>
      <c r="AX141" s="104">
        <v>1440214</v>
      </c>
      <c r="AY141" s="105">
        <v>1876431</v>
      </c>
      <c r="AZ141" s="103">
        <v>603751</v>
      </c>
      <c r="BA141" s="104">
        <v>518788</v>
      </c>
      <c r="BB141" s="104">
        <v>492455</v>
      </c>
      <c r="BC141" s="105">
        <v>641612</v>
      </c>
      <c r="BD141" s="103">
        <v>1161955</v>
      </c>
      <c r="BE141" s="104">
        <v>998437</v>
      </c>
      <c r="BF141" s="104">
        <v>947759</v>
      </c>
      <c r="BG141" s="105">
        <v>1234819</v>
      </c>
      <c r="BH141" s="64">
        <f t="shared" si="7"/>
        <v>-2719.8003320000134</v>
      </c>
      <c r="BI141" s="106">
        <f t="shared" si="8"/>
        <v>-5235.1996679999866</v>
      </c>
    </row>
    <row r="142" spans="2:61">
      <c r="B142" s="89" t="s">
        <v>381</v>
      </c>
      <c r="C142" s="90">
        <f>'[1]LEA - Summary GASB75'!H142</f>
        <v>3628319</v>
      </c>
      <c r="D142" s="91">
        <f t="shared" si="6"/>
        <v>1264382.0918439999</v>
      </c>
      <c r="E142" s="92">
        <v>3620533</v>
      </c>
      <c r="F142" s="93">
        <v>1261670</v>
      </c>
      <c r="G142" s="94">
        <v>0.34847600000000001</v>
      </c>
      <c r="H142" s="94">
        <v>0.65152399999999999</v>
      </c>
      <c r="I142" s="100">
        <v>3620533</v>
      </c>
      <c r="J142" s="101">
        <v>1261669</v>
      </c>
      <c r="K142" s="102">
        <v>2358864</v>
      </c>
      <c r="L142" s="100">
        <v>287513</v>
      </c>
      <c r="M142" s="101">
        <v>100191</v>
      </c>
      <c r="N142" s="101">
        <v>187322</v>
      </c>
      <c r="O142" s="100">
        <v>0</v>
      </c>
      <c r="P142" s="101">
        <v>0</v>
      </c>
      <c r="Q142" s="101">
        <v>0</v>
      </c>
      <c r="R142" s="100">
        <v>0</v>
      </c>
      <c r="S142" s="101">
        <v>0</v>
      </c>
      <c r="T142" s="101">
        <v>0</v>
      </c>
      <c r="U142" s="100">
        <v>0</v>
      </c>
      <c r="V142" s="101">
        <v>0</v>
      </c>
      <c r="W142" s="101">
        <v>0</v>
      </c>
      <c r="X142" s="100">
        <v>156030</v>
      </c>
      <c r="Y142" s="101">
        <v>54373</v>
      </c>
      <c r="Z142" s="101">
        <v>101657</v>
      </c>
      <c r="AA142" s="107">
        <v>-15921</v>
      </c>
      <c r="AB142" s="98">
        <v>-15921</v>
      </c>
      <c r="AC142" s="98">
        <v>-15921</v>
      </c>
      <c r="AD142" s="98">
        <v>-15921</v>
      </c>
      <c r="AE142" s="98">
        <v>-15921</v>
      </c>
      <c r="AF142" s="99">
        <v>-76425</v>
      </c>
      <c r="AG142" s="107">
        <v>-5548.0863959999997</v>
      </c>
      <c r="AH142" s="98">
        <v>-5548.0863959999997</v>
      </c>
      <c r="AI142" s="98">
        <v>-5548.0863959999997</v>
      </c>
      <c r="AJ142" s="98">
        <v>-5548.0863959999997</v>
      </c>
      <c r="AK142" s="98">
        <v>-5548.0863959999997</v>
      </c>
      <c r="AL142" s="99">
        <v>-26632.278300000002</v>
      </c>
      <c r="AM142" s="107">
        <v>-10372.913604000001</v>
      </c>
      <c r="AN142" s="98">
        <v>-10372.913604000001</v>
      </c>
      <c r="AO142" s="98">
        <v>-10372.913604000001</v>
      </c>
      <c r="AP142" s="98">
        <v>-10372.913604000001</v>
      </c>
      <c r="AQ142" s="98">
        <v>-10372.913604000001</v>
      </c>
      <c r="AR142" s="99">
        <v>-49792.721699999995</v>
      </c>
      <c r="AS142" s="100">
        <v>-148940</v>
      </c>
      <c r="AT142" s="101">
        <v>-52264</v>
      </c>
      <c r="AU142" s="102">
        <v>-96676</v>
      </c>
      <c r="AV142" s="103">
        <v>3890752</v>
      </c>
      <c r="AW142" s="104">
        <v>3361245</v>
      </c>
      <c r="AX142" s="104">
        <v>3198047</v>
      </c>
      <c r="AY142" s="105">
        <v>4118503</v>
      </c>
      <c r="AZ142" s="103">
        <v>1355834</v>
      </c>
      <c r="BA142" s="104">
        <v>1171313</v>
      </c>
      <c r="BB142" s="104">
        <v>1114443</v>
      </c>
      <c r="BC142" s="105">
        <v>1435199</v>
      </c>
      <c r="BD142" s="103">
        <v>2534918</v>
      </c>
      <c r="BE142" s="104">
        <v>2189932</v>
      </c>
      <c r="BF142" s="104">
        <v>2083604</v>
      </c>
      <c r="BG142" s="105">
        <v>2683304</v>
      </c>
      <c r="BH142" s="64">
        <f t="shared" si="7"/>
        <v>-2712.0918439999223</v>
      </c>
      <c r="BI142" s="106">
        <f t="shared" si="8"/>
        <v>-5073.9081560000777</v>
      </c>
    </row>
    <row r="143" spans="2:61">
      <c r="B143" s="89" t="s">
        <v>382</v>
      </c>
      <c r="C143" s="90">
        <f>'[1]LEA - Summary GASB75'!H143</f>
        <v>1963704</v>
      </c>
      <c r="D143" s="91">
        <f t="shared" si="6"/>
        <v>636275.44267199992</v>
      </c>
      <c r="E143" s="92">
        <v>1927488</v>
      </c>
      <c r="F143" s="93">
        <v>624540</v>
      </c>
      <c r="G143" s="94">
        <v>0.32401799999999997</v>
      </c>
      <c r="H143" s="94">
        <v>0.67598200000000008</v>
      </c>
      <c r="I143" s="100">
        <v>1927488</v>
      </c>
      <c r="J143" s="101">
        <v>624541</v>
      </c>
      <c r="K143" s="102">
        <v>1302947</v>
      </c>
      <c r="L143" s="100">
        <v>135239</v>
      </c>
      <c r="M143" s="101">
        <v>43820</v>
      </c>
      <c r="N143" s="101">
        <v>91419</v>
      </c>
      <c r="O143" s="100">
        <v>0</v>
      </c>
      <c r="P143" s="101">
        <v>0</v>
      </c>
      <c r="Q143" s="101">
        <v>0</v>
      </c>
      <c r="R143" s="100">
        <v>0</v>
      </c>
      <c r="S143" s="101">
        <v>0</v>
      </c>
      <c r="T143" s="101">
        <v>0</v>
      </c>
      <c r="U143" s="100">
        <v>0</v>
      </c>
      <c r="V143" s="101">
        <v>0</v>
      </c>
      <c r="W143" s="101">
        <v>0</v>
      </c>
      <c r="X143" s="100">
        <v>75584</v>
      </c>
      <c r="Y143" s="101">
        <v>24491</v>
      </c>
      <c r="Z143" s="101">
        <v>51093</v>
      </c>
      <c r="AA143" s="107">
        <v>-8127</v>
      </c>
      <c r="AB143" s="98">
        <v>-8127</v>
      </c>
      <c r="AC143" s="98">
        <v>-8127</v>
      </c>
      <c r="AD143" s="98">
        <v>-8127</v>
      </c>
      <c r="AE143" s="98">
        <v>-8127</v>
      </c>
      <c r="AF143" s="99">
        <v>-34949</v>
      </c>
      <c r="AG143" s="107">
        <v>-2633.2942859999998</v>
      </c>
      <c r="AH143" s="98">
        <v>-2633.2942859999998</v>
      </c>
      <c r="AI143" s="98">
        <v>-2633.2942859999998</v>
      </c>
      <c r="AJ143" s="98">
        <v>-2633.2942859999998</v>
      </c>
      <c r="AK143" s="98">
        <v>-2633.2942859999998</v>
      </c>
      <c r="AL143" s="99">
        <v>-11324.105081999998</v>
      </c>
      <c r="AM143" s="107">
        <v>-5493.7057139999997</v>
      </c>
      <c r="AN143" s="98">
        <v>-5493.7057139999997</v>
      </c>
      <c r="AO143" s="98">
        <v>-5493.7057139999997</v>
      </c>
      <c r="AP143" s="98">
        <v>-5493.7057139999997</v>
      </c>
      <c r="AQ143" s="98">
        <v>-5493.7057139999997</v>
      </c>
      <c r="AR143" s="99">
        <v>-23624.894918000002</v>
      </c>
      <c r="AS143" s="100">
        <v>-102991</v>
      </c>
      <c r="AT143" s="101">
        <v>-28097</v>
      </c>
      <c r="AU143" s="102">
        <v>-74894</v>
      </c>
      <c r="AV143" s="103">
        <v>2059157</v>
      </c>
      <c r="AW143" s="104">
        <v>1801404</v>
      </c>
      <c r="AX143" s="104">
        <v>1732196</v>
      </c>
      <c r="AY143" s="105">
        <v>2155253</v>
      </c>
      <c r="AZ143" s="103">
        <v>667204</v>
      </c>
      <c r="BA143" s="104">
        <v>583687</v>
      </c>
      <c r="BB143" s="104">
        <v>561263</v>
      </c>
      <c r="BC143" s="105">
        <v>698341</v>
      </c>
      <c r="BD143" s="103">
        <v>1391953</v>
      </c>
      <c r="BE143" s="104">
        <v>1217717</v>
      </c>
      <c r="BF143" s="104">
        <v>1170933</v>
      </c>
      <c r="BG143" s="105">
        <v>1456912</v>
      </c>
      <c r="BH143" s="64">
        <f t="shared" si="7"/>
        <v>-11735.442671999917</v>
      </c>
      <c r="BI143" s="106">
        <f t="shared" si="8"/>
        <v>-24480.557328000199</v>
      </c>
    </row>
    <row r="144" spans="2:61">
      <c r="B144" s="89" t="s">
        <v>383</v>
      </c>
      <c r="C144" s="90">
        <f>'[1]LEA - Summary GASB75'!H144</f>
        <v>1011251</v>
      </c>
      <c r="D144" s="91">
        <f t="shared" si="6"/>
        <v>367177.14809200005</v>
      </c>
      <c r="E144" s="92">
        <v>1008118</v>
      </c>
      <c r="F144" s="93">
        <v>366040</v>
      </c>
      <c r="G144" s="94">
        <v>0.36309200000000003</v>
      </c>
      <c r="H144" s="94">
        <v>0.63690800000000003</v>
      </c>
      <c r="I144" s="100">
        <v>1008118</v>
      </c>
      <c r="J144" s="101">
        <v>366040</v>
      </c>
      <c r="K144" s="102">
        <v>642078</v>
      </c>
      <c r="L144" s="100">
        <v>77043</v>
      </c>
      <c r="M144" s="101">
        <v>27974</v>
      </c>
      <c r="N144" s="101">
        <v>49069</v>
      </c>
      <c r="O144" s="100">
        <v>0</v>
      </c>
      <c r="P144" s="101">
        <v>0</v>
      </c>
      <c r="Q144" s="101">
        <v>0</v>
      </c>
      <c r="R144" s="100">
        <v>0</v>
      </c>
      <c r="S144" s="101">
        <v>0</v>
      </c>
      <c r="T144" s="101">
        <v>0</v>
      </c>
      <c r="U144" s="100">
        <v>0</v>
      </c>
      <c r="V144" s="101">
        <v>0</v>
      </c>
      <c r="W144" s="101">
        <v>0</v>
      </c>
      <c r="X144" s="100">
        <v>40360</v>
      </c>
      <c r="Y144" s="101">
        <v>14654</v>
      </c>
      <c r="Z144" s="101">
        <v>25706</v>
      </c>
      <c r="AA144" s="107">
        <v>-4535</v>
      </c>
      <c r="AB144" s="98">
        <v>-4535</v>
      </c>
      <c r="AC144" s="98">
        <v>-4535</v>
      </c>
      <c r="AD144" s="98">
        <v>-4535</v>
      </c>
      <c r="AE144" s="98">
        <v>-4535</v>
      </c>
      <c r="AF144" s="99">
        <v>-17685</v>
      </c>
      <c r="AG144" s="107">
        <v>-1646.6222200000002</v>
      </c>
      <c r="AH144" s="98">
        <v>-1646.6222200000002</v>
      </c>
      <c r="AI144" s="98">
        <v>-1646.6222200000002</v>
      </c>
      <c r="AJ144" s="98">
        <v>-1646.6222200000002</v>
      </c>
      <c r="AK144" s="98">
        <v>-1646.6222200000002</v>
      </c>
      <c r="AL144" s="99">
        <v>-6421.2820200000006</v>
      </c>
      <c r="AM144" s="107">
        <v>-2888.3777799999998</v>
      </c>
      <c r="AN144" s="98">
        <v>-2888.3777799999998</v>
      </c>
      <c r="AO144" s="98">
        <v>-2888.3777799999998</v>
      </c>
      <c r="AP144" s="98">
        <v>-2888.3777799999998</v>
      </c>
      <c r="AQ144" s="98">
        <v>-2888.3777799999998</v>
      </c>
      <c r="AR144" s="99">
        <v>-11263.717979999999</v>
      </c>
      <c r="AS144" s="100">
        <v>-45305</v>
      </c>
      <c r="AT144" s="101">
        <v>-19857</v>
      </c>
      <c r="AU144" s="102">
        <v>-25448</v>
      </c>
      <c r="AV144" s="103">
        <v>1078452</v>
      </c>
      <c r="AW144" s="104">
        <v>941269</v>
      </c>
      <c r="AX144" s="104">
        <v>903784</v>
      </c>
      <c r="AY144" s="105">
        <v>1131658</v>
      </c>
      <c r="AZ144" s="103">
        <v>391577</v>
      </c>
      <c r="BA144" s="104">
        <v>341767</v>
      </c>
      <c r="BB144" s="104">
        <v>328157</v>
      </c>
      <c r="BC144" s="105">
        <v>410896</v>
      </c>
      <c r="BD144" s="103">
        <v>686875</v>
      </c>
      <c r="BE144" s="104">
        <v>599502</v>
      </c>
      <c r="BF144" s="104">
        <v>575627</v>
      </c>
      <c r="BG144" s="105">
        <v>720762</v>
      </c>
      <c r="BH144" s="64">
        <f t="shared" si="7"/>
        <v>-1137.1480920000467</v>
      </c>
      <c r="BI144" s="106">
        <f t="shared" si="8"/>
        <v>-1995.8519079999533</v>
      </c>
    </row>
    <row r="145" spans="2:61">
      <c r="B145" s="89" t="s">
        <v>384</v>
      </c>
      <c r="C145" s="90">
        <f>'[1]LEA - Summary GASB75'!H145</f>
        <v>6164994</v>
      </c>
      <c r="D145" s="91">
        <f t="shared" si="6"/>
        <v>2127958.6489919997</v>
      </c>
      <c r="E145" s="92">
        <v>6139467</v>
      </c>
      <c r="F145" s="93">
        <v>2119146</v>
      </c>
      <c r="G145" s="94">
        <v>0.34516799999999997</v>
      </c>
      <c r="H145" s="94">
        <v>0.65483200000000008</v>
      </c>
      <c r="I145" s="100">
        <v>6139467</v>
      </c>
      <c r="J145" s="101">
        <v>2119148</v>
      </c>
      <c r="K145" s="102">
        <v>4020319</v>
      </c>
      <c r="L145" s="100">
        <v>520804</v>
      </c>
      <c r="M145" s="101">
        <v>179765</v>
      </c>
      <c r="N145" s="101">
        <v>341039</v>
      </c>
      <c r="O145" s="100">
        <v>0</v>
      </c>
      <c r="P145" s="101">
        <v>0</v>
      </c>
      <c r="Q145" s="101">
        <v>0</v>
      </c>
      <c r="R145" s="100">
        <v>0</v>
      </c>
      <c r="S145" s="101">
        <v>0</v>
      </c>
      <c r="T145" s="101">
        <v>0</v>
      </c>
      <c r="U145" s="100">
        <v>0</v>
      </c>
      <c r="V145" s="101">
        <v>0</v>
      </c>
      <c r="W145" s="101">
        <v>0</v>
      </c>
      <c r="X145" s="100">
        <v>246138</v>
      </c>
      <c r="Y145" s="101">
        <v>84959</v>
      </c>
      <c r="Z145" s="101">
        <v>161179</v>
      </c>
      <c r="AA145" s="107">
        <v>-26754</v>
      </c>
      <c r="AB145" s="98">
        <v>-26754</v>
      </c>
      <c r="AC145" s="98">
        <v>-26754</v>
      </c>
      <c r="AD145" s="98">
        <v>-26754</v>
      </c>
      <c r="AE145" s="98">
        <v>-26754</v>
      </c>
      <c r="AF145" s="99">
        <v>-112368</v>
      </c>
      <c r="AG145" s="107">
        <v>-9234.6246719999999</v>
      </c>
      <c r="AH145" s="98">
        <v>-9234.6246719999999</v>
      </c>
      <c r="AI145" s="98">
        <v>-9234.6246719999999</v>
      </c>
      <c r="AJ145" s="98">
        <v>-9234.6246719999999</v>
      </c>
      <c r="AK145" s="98">
        <v>-9234.6246719999999</v>
      </c>
      <c r="AL145" s="99">
        <v>-38785.837823999995</v>
      </c>
      <c r="AM145" s="107">
        <v>-17519.375328000002</v>
      </c>
      <c r="AN145" s="98">
        <v>-17519.375328000002</v>
      </c>
      <c r="AO145" s="98">
        <v>-17519.375328000002</v>
      </c>
      <c r="AP145" s="98">
        <v>-17519.375328000002</v>
      </c>
      <c r="AQ145" s="98">
        <v>-17519.375328000002</v>
      </c>
      <c r="AR145" s="99">
        <v>-73582.162176000013</v>
      </c>
      <c r="AS145" s="100">
        <v>-336848</v>
      </c>
      <c r="AT145" s="101">
        <v>-122664</v>
      </c>
      <c r="AU145" s="102">
        <v>-214184</v>
      </c>
      <c r="AV145" s="103">
        <v>6568311</v>
      </c>
      <c r="AW145" s="104">
        <v>5730635</v>
      </c>
      <c r="AX145" s="104">
        <v>5470633</v>
      </c>
      <c r="AY145" s="105">
        <v>6934260</v>
      </c>
      <c r="AZ145" s="103">
        <v>2267171</v>
      </c>
      <c r="BA145" s="104">
        <v>1978032</v>
      </c>
      <c r="BB145" s="104">
        <v>1888287</v>
      </c>
      <c r="BC145" s="105">
        <v>2393485</v>
      </c>
      <c r="BD145" s="103">
        <v>4301140</v>
      </c>
      <c r="BE145" s="104">
        <v>3752603</v>
      </c>
      <c r="BF145" s="104">
        <v>3582346</v>
      </c>
      <c r="BG145" s="105">
        <v>4540775</v>
      </c>
      <c r="BH145" s="64">
        <f t="shared" si="7"/>
        <v>-8812.648991999682</v>
      </c>
      <c r="BI145" s="106">
        <f t="shared" si="8"/>
        <v>-16714.351008000318</v>
      </c>
    </row>
    <row r="146" spans="2:61">
      <c r="B146" s="89" t="s">
        <v>385</v>
      </c>
      <c r="C146" s="90">
        <f>'[1]LEA - Summary GASB75'!H146</f>
        <v>10491727</v>
      </c>
      <c r="D146" s="91">
        <f t="shared" si="6"/>
        <v>3456604.3774199998</v>
      </c>
      <c r="E146" s="92">
        <v>10449817</v>
      </c>
      <c r="F146" s="93">
        <v>3442793</v>
      </c>
      <c r="G146" s="94">
        <v>0.32945999999999998</v>
      </c>
      <c r="H146" s="94">
        <v>0.67054000000000002</v>
      </c>
      <c r="I146" s="100">
        <v>10449817</v>
      </c>
      <c r="J146" s="101">
        <v>3442797</v>
      </c>
      <c r="K146" s="102">
        <v>7007020</v>
      </c>
      <c r="L146" s="100">
        <v>932327</v>
      </c>
      <c r="M146" s="101">
        <v>307164</v>
      </c>
      <c r="N146" s="101">
        <v>625163</v>
      </c>
      <c r="O146" s="100">
        <v>0</v>
      </c>
      <c r="P146" s="101">
        <v>0</v>
      </c>
      <c r="Q146" s="101">
        <v>0</v>
      </c>
      <c r="R146" s="100">
        <v>0</v>
      </c>
      <c r="S146" s="101">
        <v>0</v>
      </c>
      <c r="T146" s="101">
        <v>0</v>
      </c>
      <c r="U146" s="100">
        <v>0</v>
      </c>
      <c r="V146" s="101">
        <v>0</v>
      </c>
      <c r="W146" s="101">
        <v>0</v>
      </c>
      <c r="X146" s="100">
        <v>437444</v>
      </c>
      <c r="Y146" s="101">
        <v>144120</v>
      </c>
      <c r="Z146" s="101">
        <v>293324</v>
      </c>
      <c r="AA146" s="107">
        <v>-48605</v>
      </c>
      <c r="AB146" s="98">
        <v>-48605</v>
      </c>
      <c r="AC146" s="98">
        <v>-48605</v>
      </c>
      <c r="AD146" s="98">
        <v>-48605</v>
      </c>
      <c r="AE146" s="98">
        <v>-48605</v>
      </c>
      <c r="AF146" s="99">
        <v>-194419</v>
      </c>
      <c r="AG146" s="107">
        <v>-16013.403299999998</v>
      </c>
      <c r="AH146" s="98">
        <v>-16013.403299999998</v>
      </c>
      <c r="AI146" s="98">
        <v>-16013.403299999998</v>
      </c>
      <c r="AJ146" s="98">
        <v>-16013.403299999998</v>
      </c>
      <c r="AK146" s="98">
        <v>-16013.403299999998</v>
      </c>
      <c r="AL146" s="99">
        <v>-64053.283739999992</v>
      </c>
      <c r="AM146" s="107">
        <v>-32591.596700000002</v>
      </c>
      <c r="AN146" s="98">
        <v>-32591.596700000002</v>
      </c>
      <c r="AO146" s="98">
        <v>-32591.596700000002</v>
      </c>
      <c r="AP146" s="98">
        <v>-32591.596700000002</v>
      </c>
      <c r="AQ146" s="98">
        <v>-32591.596700000002</v>
      </c>
      <c r="AR146" s="99">
        <v>-130365.71626000002</v>
      </c>
      <c r="AS146" s="100">
        <v>-583092</v>
      </c>
      <c r="AT146" s="101">
        <v>-174019</v>
      </c>
      <c r="AU146" s="102">
        <v>-409073</v>
      </c>
      <c r="AV146" s="103">
        <v>11214609</v>
      </c>
      <c r="AW146" s="104">
        <v>9720516</v>
      </c>
      <c r="AX146" s="104">
        <v>9241985</v>
      </c>
      <c r="AY146" s="105">
        <v>11890145</v>
      </c>
      <c r="AZ146" s="103">
        <v>3694765</v>
      </c>
      <c r="BA146" s="104">
        <v>3202521</v>
      </c>
      <c r="BB146" s="104">
        <v>3044864</v>
      </c>
      <c r="BC146" s="105">
        <v>3917327</v>
      </c>
      <c r="BD146" s="103">
        <v>7519844</v>
      </c>
      <c r="BE146" s="104">
        <v>6517995</v>
      </c>
      <c r="BF146" s="104">
        <v>6197121</v>
      </c>
      <c r="BG146" s="105">
        <v>7972818</v>
      </c>
      <c r="BH146" s="64">
        <f t="shared" si="7"/>
        <v>-13811.377419999801</v>
      </c>
      <c r="BI146" s="106">
        <f t="shared" si="8"/>
        <v>-28098.622580000199</v>
      </c>
    </row>
    <row r="147" spans="2:61">
      <c r="B147" s="89" t="s">
        <v>386</v>
      </c>
      <c r="C147" s="90">
        <f>'[1]LEA - Summary GASB75'!H147</f>
        <v>6649875</v>
      </c>
      <c r="D147" s="91">
        <f t="shared" si="6"/>
        <v>2295124.5577500002</v>
      </c>
      <c r="E147" s="92">
        <v>6516556</v>
      </c>
      <c r="F147" s="93">
        <v>2249112</v>
      </c>
      <c r="G147" s="94">
        <v>0.345138</v>
      </c>
      <c r="H147" s="94">
        <v>0.65486200000000006</v>
      </c>
      <c r="I147" s="100">
        <v>6516556</v>
      </c>
      <c r="J147" s="101">
        <v>2249111</v>
      </c>
      <c r="K147" s="102">
        <v>4267445</v>
      </c>
      <c r="L147" s="100">
        <v>447491</v>
      </c>
      <c r="M147" s="101">
        <v>154446</v>
      </c>
      <c r="N147" s="101">
        <v>293045</v>
      </c>
      <c r="O147" s="100">
        <v>0</v>
      </c>
      <c r="P147" s="101">
        <v>0</v>
      </c>
      <c r="Q147" s="101">
        <v>0</v>
      </c>
      <c r="R147" s="100">
        <v>0</v>
      </c>
      <c r="S147" s="101">
        <v>0</v>
      </c>
      <c r="T147" s="101">
        <v>0</v>
      </c>
      <c r="U147" s="100">
        <v>0</v>
      </c>
      <c r="V147" s="101">
        <v>0</v>
      </c>
      <c r="W147" s="101">
        <v>0</v>
      </c>
      <c r="X147" s="100">
        <v>276973</v>
      </c>
      <c r="Y147" s="101">
        <v>95594</v>
      </c>
      <c r="Z147" s="101">
        <v>181379</v>
      </c>
      <c r="AA147" s="107">
        <v>-30106</v>
      </c>
      <c r="AB147" s="98">
        <v>-30106</v>
      </c>
      <c r="AC147" s="98">
        <v>-30106</v>
      </c>
      <c r="AD147" s="98">
        <v>-30106</v>
      </c>
      <c r="AE147" s="98">
        <v>-30106</v>
      </c>
      <c r="AF147" s="99">
        <v>-126443</v>
      </c>
      <c r="AG147" s="107">
        <v>-10390.724628</v>
      </c>
      <c r="AH147" s="98">
        <v>-10390.724628</v>
      </c>
      <c r="AI147" s="98">
        <v>-10390.724628</v>
      </c>
      <c r="AJ147" s="98">
        <v>-10390.724628</v>
      </c>
      <c r="AK147" s="98">
        <v>-10390.724628</v>
      </c>
      <c r="AL147" s="99">
        <v>-43640.284134000001</v>
      </c>
      <c r="AM147" s="107">
        <v>-19715.275372</v>
      </c>
      <c r="AN147" s="98">
        <v>-19715.275372</v>
      </c>
      <c r="AO147" s="98">
        <v>-19715.275372</v>
      </c>
      <c r="AP147" s="98">
        <v>-19715.275372</v>
      </c>
      <c r="AQ147" s="98">
        <v>-19715.275372</v>
      </c>
      <c r="AR147" s="99">
        <v>-82802.715865999999</v>
      </c>
      <c r="AS147" s="100">
        <v>-321089</v>
      </c>
      <c r="AT147" s="101">
        <v>-94628</v>
      </c>
      <c r="AU147" s="102">
        <v>-226461</v>
      </c>
      <c r="AV147" s="103">
        <v>7000023</v>
      </c>
      <c r="AW147" s="104">
        <v>6055977</v>
      </c>
      <c r="AX147" s="104">
        <v>5807535</v>
      </c>
      <c r="AY147" s="105">
        <v>7348379</v>
      </c>
      <c r="AZ147" s="103">
        <v>2415974</v>
      </c>
      <c r="BA147" s="104">
        <v>2090148</v>
      </c>
      <c r="BB147" s="104">
        <v>2004401</v>
      </c>
      <c r="BC147" s="105">
        <v>2536205</v>
      </c>
      <c r="BD147" s="103">
        <v>4584049</v>
      </c>
      <c r="BE147" s="104">
        <v>3965829</v>
      </c>
      <c r="BF147" s="104">
        <v>3803134</v>
      </c>
      <c r="BG147" s="105">
        <v>4812174</v>
      </c>
      <c r="BH147" s="64">
        <f t="shared" si="7"/>
        <v>-46012.557750000153</v>
      </c>
      <c r="BI147" s="106">
        <f t="shared" si="8"/>
        <v>-87306.442250000313</v>
      </c>
    </row>
    <row r="148" spans="2:61">
      <c r="B148" s="89" t="s">
        <v>387</v>
      </c>
      <c r="C148" s="90">
        <f>'[1]LEA - Summary GASB75'!H148</f>
        <v>5152334</v>
      </c>
      <c r="D148" s="91">
        <f t="shared" si="6"/>
        <v>1854185.8935819999</v>
      </c>
      <c r="E148" s="92">
        <v>5013531</v>
      </c>
      <c r="F148" s="93">
        <v>1804235</v>
      </c>
      <c r="G148" s="94">
        <v>0.359873</v>
      </c>
      <c r="H148" s="94">
        <v>0.640127</v>
      </c>
      <c r="I148" s="100">
        <v>5013531</v>
      </c>
      <c r="J148" s="101">
        <v>1804234</v>
      </c>
      <c r="K148" s="102">
        <v>3209297</v>
      </c>
      <c r="L148" s="100">
        <v>400711</v>
      </c>
      <c r="M148" s="101">
        <v>144205</v>
      </c>
      <c r="N148" s="101">
        <v>256506</v>
      </c>
      <c r="O148" s="100">
        <v>0</v>
      </c>
      <c r="P148" s="101">
        <v>0</v>
      </c>
      <c r="Q148" s="101">
        <v>0</v>
      </c>
      <c r="R148" s="100">
        <v>0</v>
      </c>
      <c r="S148" s="101">
        <v>0</v>
      </c>
      <c r="T148" s="101">
        <v>0</v>
      </c>
      <c r="U148" s="100">
        <v>0</v>
      </c>
      <c r="V148" s="101">
        <v>0</v>
      </c>
      <c r="W148" s="101">
        <v>0</v>
      </c>
      <c r="X148" s="100">
        <v>202972</v>
      </c>
      <c r="Y148" s="101">
        <v>73044</v>
      </c>
      <c r="Z148" s="101">
        <v>129928</v>
      </c>
      <c r="AA148" s="107">
        <v>-22553</v>
      </c>
      <c r="AB148" s="98">
        <v>-22553</v>
      </c>
      <c r="AC148" s="98">
        <v>-22553</v>
      </c>
      <c r="AD148" s="98">
        <v>-22553</v>
      </c>
      <c r="AE148" s="98">
        <v>-22553</v>
      </c>
      <c r="AF148" s="99">
        <v>-90207</v>
      </c>
      <c r="AG148" s="107">
        <v>-8116.2157690000004</v>
      </c>
      <c r="AH148" s="98">
        <v>-8116.2157690000004</v>
      </c>
      <c r="AI148" s="98">
        <v>-8116.2157690000004</v>
      </c>
      <c r="AJ148" s="98">
        <v>-8116.2157690000004</v>
      </c>
      <c r="AK148" s="98">
        <v>-8116.2157690000004</v>
      </c>
      <c r="AL148" s="99">
        <v>-32463.063710999999</v>
      </c>
      <c r="AM148" s="107">
        <v>-14436.784231</v>
      </c>
      <c r="AN148" s="98">
        <v>-14436.784231</v>
      </c>
      <c r="AO148" s="98">
        <v>-14436.784231</v>
      </c>
      <c r="AP148" s="98">
        <v>-14436.784231</v>
      </c>
      <c r="AQ148" s="98">
        <v>-14436.784231</v>
      </c>
      <c r="AR148" s="99">
        <v>-57743.936289000005</v>
      </c>
      <c r="AS148" s="100">
        <v>-359803</v>
      </c>
      <c r="AT148" s="101">
        <v>-135989</v>
      </c>
      <c r="AU148" s="102">
        <v>-223814</v>
      </c>
      <c r="AV148" s="103">
        <v>5368631</v>
      </c>
      <c r="AW148" s="104">
        <v>4677257</v>
      </c>
      <c r="AX148" s="104">
        <v>4473418</v>
      </c>
      <c r="AY148" s="105">
        <v>5659090</v>
      </c>
      <c r="AZ148" s="103">
        <v>1932025</v>
      </c>
      <c r="BA148" s="104">
        <v>1683219</v>
      </c>
      <c r="BB148" s="104">
        <v>1609862</v>
      </c>
      <c r="BC148" s="105">
        <v>2036554</v>
      </c>
      <c r="BD148" s="103">
        <v>3436606</v>
      </c>
      <c r="BE148" s="104">
        <v>2994038</v>
      </c>
      <c r="BF148" s="104">
        <v>2863556</v>
      </c>
      <c r="BG148" s="105">
        <v>3622536</v>
      </c>
      <c r="BH148" s="64">
        <f t="shared" si="7"/>
        <v>-49950.893581999931</v>
      </c>
      <c r="BI148" s="106">
        <f t="shared" si="8"/>
        <v>-88852.106418000069</v>
      </c>
    </row>
    <row r="149" spans="2:61">
      <c r="B149" s="89" t="s">
        <v>388</v>
      </c>
      <c r="C149" s="90">
        <f>'[1]LEA - Summary GASB75'!H149</f>
        <v>5478920</v>
      </c>
      <c r="D149" s="91">
        <f t="shared" si="6"/>
        <v>1982640.3436399999</v>
      </c>
      <c r="E149" s="92">
        <v>5343500</v>
      </c>
      <c r="F149" s="93">
        <v>1933634</v>
      </c>
      <c r="G149" s="94">
        <v>0.36186699999999999</v>
      </c>
      <c r="H149" s="94">
        <v>0.63813300000000006</v>
      </c>
      <c r="I149" s="100">
        <v>5343500</v>
      </c>
      <c r="J149" s="101">
        <v>1933636</v>
      </c>
      <c r="K149" s="102">
        <v>3409864</v>
      </c>
      <c r="L149" s="100">
        <v>412003</v>
      </c>
      <c r="M149" s="101">
        <v>149090</v>
      </c>
      <c r="N149" s="101">
        <v>262913</v>
      </c>
      <c r="O149" s="100">
        <v>0</v>
      </c>
      <c r="P149" s="101">
        <v>0</v>
      </c>
      <c r="Q149" s="101">
        <v>0</v>
      </c>
      <c r="R149" s="100">
        <v>0</v>
      </c>
      <c r="S149" s="101">
        <v>0</v>
      </c>
      <c r="T149" s="101">
        <v>0</v>
      </c>
      <c r="U149" s="100">
        <v>0</v>
      </c>
      <c r="V149" s="101">
        <v>0</v>
      </c>
      <c r="W149" s="101">
        <v>0</v>
      </c>
      <c r="X149" s="100">
        <v>221977</v>
      </c>
      <c r="Y149" s="101">
        <v>80326</v>
      </c>
      <c r="Z149" s="101">
        <v>141651</v>
      </c>
      <c r="AA149" s="107">
        <v>-23123</v>
      </c>
      <c r="AB149" s="98">
        <v>-23123</v>
      </c>
      <c r="AC149" s="98">
        <v>-23123</v>
      </c>
      <c r="AD149" s="98">
        <v>-23123</v>
      </c>
      <c r="AE149" s="98">
        <v>-23123</v>
      </c>
      <c r="AF149" s="99">
        <v>-106362</v>
      </c>
      <c r="AG149" s="107">
        <v>-8367.4506409999995</v>
      </c>
      <c r="AH149" s="98">
        <v>-8367.4506409999995</v>
      </c>
      <c r="AI149" s="98">
        <v>-8367.4506409999995</v>
      </c>
      <c r="AJ149" s="98">
        <v>-8367.4506409999995</v>
      </c>
      <c r="AK149" s="98">
        <v>-8367.4506409999995</v>
      </c>
      <c r="AL149" s="99">
        <v>-38488.897854000003</v>
      </c>
      <c r="AM149" s="107">
        <v>-14755.549359000001</v>
      </c>
      <c r="AN149" s="98">
        <v>-14755.549359000001</v>
      </c>
      <c r="AO149" s="98">
        <v>-14755.549359000001</v>
      </c>
      <c r="AP149" s="98">
        <v>-14755.549359000001</v>
      </c>
      <c r="AQ149" s="98">
        <v>-14755.549359000001</v>
      </c>
      <c r="AR149" s="99">
        <v>-67873.10214599999</v>
      </c>
      <c r="AS149" s="100">
        <v>-336460</v>
      </c>
      <c r="AT149" s="101">
        <v>-133951</v>
      </c>
      <c r="AU149" s="102">
        <v>-202509</v>
      </c>
      <c r="AV149" s="103">
        <v>5729076</v>
      </c>
      <c r="AW149" s="104">
        <v>4976837</v>
      </c>
      <c r="AX149" s="104">
        <v>4762054</v>
      </c>
      <c r="AY149" s="105">
        <v>6033593</v>
      </c>
      <c r="AZ149" s="103">
        <v>2073164</v>
      </c>
      <c r="BA149" s="104">
        <v>1800953</v>
      </c>
      <c r="BB149" s="104">
        <v>1723230</v>
      </c>
      <c r="BC149" s="105">
        <v>2183358</v>
      </c>
      <c r="BD149" s="103">
        <v>3655912</v>
      </c>
      <c r="BE149" s="104">
        <v>3175884</v>
      </c>
      <c r="BF149" s="104">
        <v>3038824</v>
      </c>
      <c r="BG149" s="105">
        <v>3850235</v>
      </c>
      <c r="BH149" s="64">
        <f t="shared" si="7"/>
        <v>-49006.343639999861</v>
      </c>
      <c r="BI149" s="106">
        <f t="shared" si="8"/>
        <v>-86413.656360000372</v>
      </c>
    </row>
    <row r="150" spans="2:61" ht="15.75" thickBot="1">
      <c r="B150" s="108" t="s">
        <v>389</v>
      </c>
      <c r="C150" s="90">
        <f>'[1]LEA - Summary GASB75'!H150</f>
        <v>0</v>
      </c>
      <c r="D150" s="91">
        <f t="shared" si="6"/>
        <v>0</v>
      </c>
      <c r="E150" s="92">
        <v>0</v>
      </c>
      <c r="F150" s="93">
        <v>0</v>
      </c>
      <c r="G150" s="94">
        <v>0</v>
      </c>
      <c r="H150" s="94">
        <v>1</v>
      </c>
      <c r="I150" s="109">
        <v>0</v>
      </c>
      <c r="J150" s="110">
        <v>0</v>
      </c>
      <c r="K150" s="111">
        <v>0</v>
      </c>
      <c r="L150" s="109">
        <v>0</v>
      </c>
      <c r="M150" s="110">
        <v>0</v>
      </c>
      <c r="N150" s="110">
        <v>0</v>
      </c>
      <c r="O150" s="109">
        <v>0</v>
      </c>
      <c r="P150" s="110">
        <v>0</v>
      </c>
      <c r="Q150" s="110">
        <v>0</v>
      </c>
      <c r="R150" s="109">
        <v>0</v>
      </c>
      <c r="S150" s="110">
        <v>0</v>
      </c>
      <c r="T150" s="110">
        <v>0</v>
      </c>
      <c r="U150" s="109">
        <v>0</v>
      </c>
      <c r="V150" s="110">
        <v>0</v>
      </c>
      <c r="W150" s="110">
        <v>0</v>
      </c>
      <c r="X150" s="109">
        <v>0</v>
      </c>
      <c r="Y150" s="110">
        <v>0</v>
      </c>
      <c r="Z150" s="110">
        <v>0</v>
      </c>
      <c r="AA150" s="107">
        <v>0</v>
      </c>
      <c r="AB150" s="98">
        <v>0</v>
      </c>
      <c r="AC150" s="98">
        <v>0</v>
      </c>
      <c r="AD150" s="98">
        <v>0</v>
      </c>
      <c r="AE150" s="98">
        <v>0</v>
      </c>
      <c r="AF150" s="99">
        <v>0</v>
      </c>
      <c r="AG150" s="107">
        <v>0</v>
      </c>
      <c r="AH150" s="98">
        <v>0</v>
      </c>
      <c r="AI150" s="98">
        <v>0</v>
      </c>
      <c r="AJ150" s="98">
        <v>0</v>
      </c>
      <c r="AK150" s="98">
        <v>0</v>
      </c>
      <c r="AL150" s="99">
        <v>0</v>
      </c>
      <c r="AM150" s="107">
        <v>0</v>
      </c>
      <c r="AN150" s="98">
        <v>0</v>
      </c>
      <c r="AO150" s="98">
        <v>0</v>
      </c>
      <c r="AP150" s="98">
        <v>0</v>
      </c>
      <c r="AQ150" s="98">
        <v>0</v>
      </c>
      <c r="AR150" s="99">
        <v>0</v>
      </c>
      <c r="AS150" s="109">
        <v>0</v>
      </c>
      <c r="AT150" s="110">
        <v>0</v>
      </c>
      <c r="AU150" s="111">
        <v>0</v>
      </c>
      <c r="AV150" s="112">
        <v>0</v>
      </c>
      <c r="AW150" s="113">
        <v>0</v>
      </c>
      <c r="AX150" s="113">
        <v>0</v>
      </c>
      <c r="AY150" s="114">
        <v>0</v>
      </c>
      <c r="AZ150" s="112">
        <v>0</v>
      </c>
      <c r="BA150" s="113">
        <v>0</v>
      </c>
      <c r="BB150" s="113">
        <v>0</v>
      </c>
      <c r="BC150" s="114">
        <v>0</v>
      </c>
      <c r="BD150" s="112">
        <v>0</v>
      </c>
      <c r="BE150" s="113">
        <v>0</v>
      </c>
      <c r="BF150" s="113">
        <v>0</v>
      </c>
      <c r="BG150" s="114">
        <v>0</v>
      </c>
      <c r="BH150" s="64">
        <f t="shared" si="7"/>
        <v>0</v>
      </c>
      <c r="BI150" s="106">
        <f t="shared" si="8"/>
        <v>0</v>
      </c>
    </row>
    <row r="151" spans="2:61" ht="15.75" thickBot="1">
      <c r="B151" s="115" t="s">
        <v>101</v>
      </c>
      <c r="C151" s="116">
        <f t="shared" ref="C151:F151" si="9">SUM(C5:C150)</f>
        <v>902399891</v>
      </c>
      <c r="D151" s="116">
        <f t="shared" si="9"/>
        <v>259040583.68633687</v>
      </c>
      <c r="E151" s="116">
        <f t="shared" si="9"/>
        <v>895671124</v>
      </c>
      <c r="F151" s="117">
        <f t="shared" si="9"/>
        <v>256924240</v>
      </c>
      <c r="G151" s="118">
        <f t="shared" ref="G151" si="10">ROUND(IFERROR(F151/E151,0),6)</f>
        <v>0.28685100000000002</v>
      </c>
      <c r="H151" s="118">
        <f t="shared" ref="H151" si="11">1-G151</f>
        <v>0.71314900000000003</v>
      </c>
      <c r="I151" s="119">
        <f t="shared" ref="I151" si="12">SUM(I5:I150)</f>
        <v>895671124</v>
      </c>
      <c r="J151" s="120">
        <f t="shared" ref="J151:AR151" si="13">SUM(J5:J150)</f>
        <v>256924230</v>
      </c>
      <c r="K151" s="121">
        <f t="shared" si="13"/>
        <v>638746894</v>
      </c>
      <c r="L151" s="119">
        <f t="shared" si="13"/>
        <v>75752467</v>
      </c>
      <c r="M151" s="120">
        <f t="shared" si="13"/>
        <v>21680249</v>
      </c>
      <c r="N151" s="120">
        <f t="shared" si="13"/>
        <v>54072218</v>
      </c>
      <c r="O151" s="119">
        <f t="shared" si="13"/>
        <v>0</v>
      </c>
      <c r="P151" s="120">
        <f t="shared" si="13"/>
        <v>0</v>
      </c>
      <c r="Q151" s="121">
        <f t="shared" si="13"/>
        <v>0</v>
      </c>
      <c r="R151" s="119">
        <f t="shared" si="13"/>
        <v>0</v>
      </c>
      <c r="S151" s="120">
        <f t="shared" si="13"/>
        <v>0</v>
      </c>
      <c r="T151" s="121">
        <f t="shared" si="13"/>
        <v>0</v>
      </c>
      <c r="U151" s="119">
        <f t="shared" si="13"/>
        <v>0</v>
      </c>
      <c r="V151" s="120">
        <f t="shared" si="13"/>
        <v>0</v>
      </c>
      <c r="W151" s="121">
        <f t="shared" si="13"/>
        <v>0</v>
      </c>
      <c r="X151" s="119">
        <f t="shared" si="13"/>
        <v>36962909</v>
      </c>
      <c r="Y151" s="120">
        <f t="shared" si="13"/>
        <v>10647385</v>
      </c>
      <c r="Z151" s="121">
        <f t="shared" si="13"/>
        <v>26315524</v>
      </c>
      <c r="AA151" s="119">
        <f t="shared" si="13"/>
        <v>-4131140</v>
      </c>
      <c r="AB151" s="120">
        <f t="shared" si="13"/>
        <v>-4131139</v>
      </c>
      <c r="AC151" s="120">
        <f t="shared" si="13"/>
        <v>-4131138</v>
      </c>
      <c r="AD151" s="120">
        <f t="shared" si="13"/>
        <v>-4131138</v>
      </c>
      <c r="AE151" s="120">
        <f t="shared" si="13"/>
        <v>-4131138</v>
      </c>
      <c r="AF151" s="121">
        <f t="shared" si="13"/>
        <v>-16307216</v>
      </c>
      <c r="AG151" s="119">
        <f t="shared" si="13"/>
        <v>-1183074.7435139997</v>
      </c>
      <c r="AH151" s="120">
        <f t="shared" si="13"/>
        <v>-1183074.6625889996</v>
      </c>
      <c r="AI151" s="120">
        <f t="shared" si="13"/>
        <v>-1183074.5816639997</v>
      </c>
      <c r="AJ151" s="120">
        <f t="shared" si="13"/>
        <v>-1183074.5816639997</v>
      </c>
      <c r="AK151" s="120">
        <f t="shared" si="13"/>
        <v>-1183074.5816639997</v>
      </c>
      <c r="AL151" s="121">
        <f t="shared" si="13"/>
        <v>-4732010.0571459997</v>
      </c>
      <c r="AM151" s="119">
        <f t="shared" si="13"/>
        <v>-2948065.2564860019</v>
      </c>
      <c r="AN151" s="120">
        <f t="shared" si="13"/>
        <v>-2948064.3374110023</v>
      </c>
      <c r="AO151" s="120">
        <f t="shared" si="13"/>
        <v>-2948063.4183360022</v>
      </c>
      <c r="AP151" s="120">
        <f t="shared" si="13"/>
        <v>-2948063.4183360022</v>
      </c>
      <c r="AQ151" s="120">
        <f t="shared" si="13"/>
        <v>-2948063.4183360022</v>
      </c>
      <c r="AR151" s="121">
        <f t="shared" si="13"/>
        <v>-11575205.942853997</v>
      </c>
      <c r="AS151" s="109">
        <v>-49772240</v>
      </c>
      <c r="AT151" s="110">
        <v>-13821721</v>
      </c>
      <c r="AU151" s="111">
        <v>-35950519</v>
      </c>
      <c r="AV151" s="122">
        <f t="shared" ref="AV151:BG151" si="14">SUM(AV$5:AV$150)</f>
        <v>960413722</v>
      </c>
      <c r="AW151" s="123">
        <f t="shared" si="14"/>
        <v>834038240</v>
      </c>
      <c r="AX151" s="123">
        <f t="shared" si="14"/>
        <v>795614127</v>
      </c>
      <c r="AY151" s="124">
        <f t="shared" si="14"/>
        <v>1014353949</v>
      </c>
      <c r="AZ151" s="122">
        <f t="shared" si="14"/>
        <v>275563463</v>
      </c>
      <c r="BA151" s="123">
        <f t="shared" si="14"/>
        <v>239185512</v>
      </c>
      <c r="BB151" s="123">
        <f t="shared" si="14"/>
        <v>228155862</v>
      </c>
      <c r="BC151" s="124">
        <f t="shared" si="14"/>
        <v>291065188</v>
      </c>
      <c r="BD151" s="122">
        <f t="shared" si="14"/>
        <v>684850259</v>
      </c>
      <c r="BE151" s="123">
        <f t="shared" si="14"/>
        <v>594852728</v>
      </c>
      <c r="BF151" s="123">
        <f t="shared" si="14"/>
        <v>567458265</v>
      </c>
      <c r="BG151" s="124">
        <f t="shared" si="14"/>
        <v>723288761</v>
      </c>
      <c r="BH151" s="116">
        <f t="shared" ref="BH151:BI151" si="15">SUM(BH5:BH150)</f>
        <v>-2116343.6863369979</v>
      </c>
      <c r="BI151" s="116">
        <f t="shared" si="15"/>
        <v>-4612423.313663004</v>
      </c>
    </row>
    <row r="152" spans="2:61">
      <c r="E152" s="125"/>
      <c r="BI152" s="64">
        <f>BI151+BH151</f>
        <v>-6728767.0000000019</v>
      </c>
    </row>
    <row r="156" spans="2:61">
      <c r="AV156" s="64"/>
      <c r="AW156" s="64"/>
      <c r="AX156" s="64"/>
      <c r="AY156" s="64"/>
      <c r="AZ156" s="64"/>
      <c r="BA156" s="64"/>
      <c r="BB156" s="64"/>
      <c r="BC156" s="64"/>
      <c r="BD156" s="64"/>
      <c r="BE156" s="64"/>
      <c r="BF156" s="64"/>
      <c r="BG156" s="64"/>
    </row>
    <row r="158" spans="2:61">
      <c r="AV158" s="71"/>
      <c r="AW158" s="71"/>
      <c r="AX158" s="71"/>
      <c r="AY158" s="71"/>
      <c r="AZ158" s="71"/>
      <c r="BA158" s="71"/>
      <c r="BB158" s="71"/>
      <c r="BC158" s="71"/>
      <c r="BD158" s="71"/>
      <c r="BE158" s="71"/>
      <c r="BF158" s="71"/>
      <c r="BG158" s="71"/>
    </row>
  </sheetData>
  <mergeCells count="13">
    <mergeCell ref="BD3:BG3"/>
    <mergeCell ref="AA3:AF3"/>
    <mergeCell ref="AG3:AL3"/>
    <mergeCell ref="AM3:AR3"/>
    <mergeCell ref="AS3:AU3"/>
    <mergeCell ref="AV3:AY3"/>
    <mergeCell ref="AZ3:BC3"/>
    <mergeCell ref="X3:Z3"/>
    <mergeCell ref="I3:K3"/>
    <mergeCell ref="L3:N3"/>
    <mergeCell ref="O3:Q3"/>
    <mergeCell ref="R3:T3"/>
    <mergeCell ref="U3:W3"/>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Z185"/>
  <sheetViews>
    <sheetView workbookViewId="0">
      <selection activeCell="T1" sqref="T1:AP1"/>
    </sheetView>
  </sheetViews>
  <sheetFormatPr defaultRowHeight="15"/>
  <cols>
    <col min="1" max="1" width="3.42578125" style="192" customWidth="1"/>
    <col min="2" max="2" width="44.42578125" style="192" customWidth="1"/>
    <col min="3" max="5" width="10.85546875" style="192" customWidth="1"/>
    <col min="6" max="7" width="14.28515625" style="192" customWidth="1"/>
    <col min="8" max="10" width="13" style="192" customWidth="1"/>
    <col min="11" max="11" width="15.140625" style="192" customWidth="1"/>
    <col min="12" max="12" width="13.7109375" style="192" customWidth="1"/>
    <col min="13" max="13" width="13.5703125" style="192" customWidth="1"/>
    <col min="14" max="14" width="15.140625" style="192" customWidth="1"/>
    <col min="15" max="16" width="12.7109375" style="192" customWidth="1"/>
    <col min="17" max="18" width="12.140625" style="192" customWidth="1"/>
    <col min="19" max="19" width="13.7109375" style="192" customWidth="1"/>
    <col min="20" max="20" width="13.42578125" style="192" customWidth="1"/>
    <col min="21" max="24" width="12.140625" style="192" customWidth="1"/>
    <col min="25" max="25" width="13" style="192" customWidth="1"/>
    <col min="26" max="32" width="12.140625" style="192" customWidth="1"/>
    <col min="33" max="33" width="13.42578125" style="192" customWidth="1"/>
    <col min="34" max="34" width="9.28515625" style="254" bestFit="1" customWidth="1"/>
    <col min="35" max="35" width="10.85546875" style="192" bestFit="1" customWidth="1"/>
    <col min="36" max="36" width="9.28515625" style="192" bestFit="1" customWidth="1"/>
    <col min="37" max="37" width="19.42578125" style="192" customWidth="1"/>
    <col min="38" max="16384" width="9.140625" style="192"/>
  </cols>
  <sheetData>
    <row r="1" spans="2:52">
      <c r="B1" s="174">
        <v>1</v>
      </c>
      <c r="C1" s="175">
        <v>2</v>
      </c>
      <c r="D1" s="174">
        <v>3</v>
      </c>
      <c r="E1" s="175">
        <v>4</v>
      </c>
      <c r="F1" s="174">
        <v>5</v>
      </c>
      <c r="G1" s="175">
        <v>6</v>
      </c>
      <c r="H1" s="174">
        <v>7</v>
      </c>
      <c r="I1" s="175">
        <v>8</v>
      </c>
      <c r="J1" s="174">
        <v>9</v>
      </c>
      <c r="K1" s="175">
        <v>10</v>
      </c>
      <c r="L1" s="174">
        <v>11</v>
      </c>
      <c r="M1" s="175">
        <v>12</v>
      </c>
      <c r="N1" s="174">
        <v>13</v>
      </c>
      <c r="O1" s="175">
        <v>14</v>
      </c>
      <c r="P1" s="174">
        <v>15</v>
      </c>
      <c r="Q1" s="175">
        <v>16</v>
      </c>
      <c r="R1" s="174">
        <v>17</v>
      </c>
      <c r="S1" s="175">
        <v>18</v>
      </c>
      <c r="T1" s="174">
        <v>19</v>
      </c>
      <c r="U1" s="175">
        <v>20</v>
      </c>
      <c r="V1" s="174">
        <v>21</v>
      </c>
      <c r="W1" s="175">
        <v>22</v>
      </c>
      <c r="X1" s="174">
        <v>23</v>
      </c>
      <c r="Y1" s="175">
        <v>24</v>
      </c>
      <c r="Z1" s="174">
        <v>25</v>
      </c>
      <c r="AA1" s="175">
        <v>26</v>
      </c>
      <c r="AB1" s="174">
        <v>27</v>
      </c>
      <c r="AC1" s="175">
        <v>28</v>
      </c>
      <c r="AD1" s="174">
        <v>29</v>
      </c>
      <c r="AE1" s="175">
        <v>30</v>
      </c>
      <c r="AF1" s="174">
        <v>31</v>
      </c>
      <c r="AG1" s="175">
        <v>32</v>
      </c>
      <c r="AH1" s="174">
        <v>33</v>
      </c>
      <c r="AI1" s="175">
        <v>34</v>
      </c>
      <c r="AJ1" s="174">
        <v>35</v>
      </c>
      <c r="AK1" s="175">
        <v>36</v>
      </c>
      <c r="AL1" s="174">
        <v>37</v>
      </c>
      <c r="AM1" s="175">
        <v>38</v>
      </c>
      <c r="AN1" s="174">
        <v>39</v>
      </c>
      <c r="AO1" s="175">
        <v>40</v>
      </c>
      <c r="AP1" s="174">
        <v>41</v>
      </c>
      <c r="AQ1" s="174">
        <v>41</v>
      </c>
      <c r="AR1" s="175">
        <v>42</v>
      </c>
      <c r="AS1" s="174">
        <v>43</v>
      </c>
      <c r="AT1" s="175">
        <v>44</v>
      </c>
      <c r="AU1" s="174">
        <v>45</v>
      </c>
      <c r="AV1" s="175">
        <v>46</v>
      </c>
      <c r="AW1" s="174">
        <v>47</v>
      </c>
      <c r="AX1" s="175">
        <v>48</v>
      </c>
      <c r="AY1" s="174">
        <v>49</v>
      </c>
      <c r="AZ1" s="175">
        <v>50</v>
      </c>
    </row>
    <row r="2" spans="2:52" ht="24.75" customHeight="1">
      <c r="B2" s="307" t="s">
        <v>208</v>
      </c>
      <c r="C2" s="307"/>
      <c r="D2" s="307"/>
      <c r="E2" s="307"/>
      <c r="F2" s="307"/>
      <c r="G2" s="307"/>
      <c r="H2" s="307"/>
      <c r="AJ2" s="176"/>
    </row>
    <row r="3" spans="2:52">
      <c r="B3" s="193"/>
      <c r="C3" s="308" t="s">
        <v>209</v>
      </c>
      <c r="D3" s="309"/>
      <c r="E3" s="309"/>
      <c r="F3" s="305" t="s">
        <v>210</v>
      </c>
      <c r="G3" s="305" t="s">
        <v>211</v>
      </c>
      <c r="H3" s="310" t="s">
        <v>212</v>
      </c>
      <c r="I3" s="177"/>
      <c r="J3" s="177"/>
      <c r="K3" s="312" t="s">
        <v>213</v>
      </c>
      <c r="L3" s="313"/>
      <c r="M3" s="313"/>
      <c r="N3" s="314"/>
      <c r="O3" s="315" t="s">
        <v>214</v>
      </c>
      <c r="P3" s="316"/>
      <c r="Q3" s="316"/>
      <c r="R3" s="316"/>
      <c r="S3" s="316"/>
      <c r="T3" s="317"/>
      <c r="U3" s="312" t="s">
        <v>215</v>
      </c>
      <c r="V3" s="313"/>
      <c r="W3" s="314"/>
      <c r="X3" s="315" t="s">
        <v>216</v>
      </c>
      <c r="Y3" s="317"/>
      <c r="Z3" s="315" t="s">
        <v>217</v>
      </c>
      <c r="AA3" s="317"/>
      <c r="AB3" s="312" t="s">
        <v>218</v>
      </c>
      <c r="AC3" s="313"/>
      <c r="AD3" s="313"/>
      <c r="AE3" s="313"/>
      <c r="AF3" s="313"/>
      <c r="AG3" s="314"/>
      <c r="AH3" s="303" t="s">
        <v>219</v>
      </c>
    </row>
    <row r="4" spans="2:52" ht="57">
      <c r="B4" s="194" t="s">
        <v>220</v>
      </c>
      <c r="C4" s="183" t="s">
        <v>221</v>
      </c>
      <c r="D4" s="183" t="s">
        <v>222</v>
      </c>
      <c r="E4" s="183" t="s">
        <v>223</v>
      </c>
      <c r="F4" s="306"/>
      <c r="G4" s="306"/>
      <c r="H4" s="311"/>
      <c r="I4" s="178" t="s">
        <v>225</v>
      </c>
      <c r="J4" s="178" t="s">
        <v>226</v>
      </c>
      <c r="K4" s="183" t="s">
        <v>227</v>
      </c>
      <c r="L4" s="183" t="s">
        <v>228</v>
      </c>
      <c r="M4" s="183" t="s">
        <v>229</v>
      </c>
      <c r="N4" s="183" t="s">
        <v>230</v>
      </c>
      <c r="O4" s="179" t="s">
        <v>231</v>
      </c>
      <c r="P4" s="179" t="s">
        <v>117</v>
      </c>
      <c r="Q4" s="179" t="s">
        <v>232</v>
      </c>
      <c r="R4" s="179" t="s">
        <v>233</v>
      </c>
      <c r="S4" s="179" t="s">
        <v>234</v>
      </c>
      <c r="T4" s="179" t="s">
        <v>235</v>
      </c>
      <c r="U4" s="184" t="s">
        <v>236</v>
      </c>
      <c r="V4" s="184" t="s">
        <v>470</v>
      </c>
      <c r="W4" s="184" t="s">
        <v>237</v>
      </c>
      <c r="X4" s="179" t="s">
        <v>233</v>
      </c>
      <c r="Y4" s="179" t="s">
        <v>238</v>
      </c>
      <c r="Z4" s="179" t="s">
        <v>233</v>
      </c>
      <c r="AA4" s="179" t="s">
        <v>238</v>
      </c>
      <c r="AB4" s="184" t="s">
        <v>239</v>
      </c>
      <c r="AC4" s="184" t="s">
        <v>240</v>
      </c>
      <c r="AD4" s="184" t="s">
        <v>241</v>
      </c>
      <c r="AE4" s="184" t="s">
        <v>242</v>
      </c>
      <c r="AF4" s="184" t="s">
        <v>243</v>
      </c>
      <c r="AG4" s="184" t="s">
        <v>107</v>
      </c>
      <c r="AH4" s="304"/>
    </row>
    <row r="5" spans="2:52">
      <c r="B5" s="185" t="s">
        <v>244</v>
      </c>
      <c r="C5" s="186">
        <v>0</v>
      </c>
      <c r="D5" s="186">
        <v>0</v>
      </c>
      <c r="E5" s="186">
        <v>0</v>
      </c>
      <c r="F5" s="186">
        <v>0</v>
      </c>
      <c r="G5" s="186">
        <v>0</v>
      </c>
      <c r="H5" s="186">
        <v>0</v>
      </c>
      <c r="I5" s="186">
        <v>0</v>
      </c>
      <c r="J5" s="186">
        <v>0</v>
      </c>
      <c r="K5" s="186">
        <v>0</v>
      </c>
      <c r="L5" s="186">
        <v>0</v>
      </c>
      <c r="M5" s="186">
        <v>0</v>
      </c>
      <c r="N5" s="186">
        <v>0</v>
      </c>
      <c r="O5" s="186">
        <v>0</v>
      </c>
      <c r="P5" s="186">
        <v>0</v>
      </c>
      <c r="Q5" s="186">
        <v>0</v>
      </c>
      <c r="R5" s="186">
        <v>0</v>
      </c>
      <c r="S5" s="186">
        <v>0</v>
      </c>
      <c r="T5" s="186">
        <v>0</v>
      </c>
      <c r="U5" s="186">
        <v>0</v>
      </c>
      <c r="V5" s="186">
        <v>0</v>
      </c>
      <c r="W5" s="186">
        <v>0</v>
      </c>
      <c r="X5" s="186">
        <v>0</v>
      </c>
      <c r="Y5" s="186">
        <v>0</v>
      </c>
      <c r="Z5" s="186">
        <v>0</v>
      </c>
      <c r="AA5" s="186">
        <v>0</v>
      </c>
      <c r="AB5" s="186">
        <v>0</v>
      </c>
      <c r="AC5" s="186">
        <v>0</v>
      </c>
      <c r="AD5" s="186">
        <v>0</v>
      </c>
      <c r="AE5" s="186">
        <v>0</v>
      </c>
      <c r="AF5" s="186">
        <v>0</v>
      </c>
      <c r="AG5" s="186">
        <v>0</v>
      </c>
      <c r="AH5" s="187">
        <v>1</v>
      </c>
      <c r="AK5" s="196"/>
    </row>
    <row r="6" spans="2:52">
      <c r="B6" s="185" t="s">
        <v>245</v>
      </c>
      <c r="C6" s="186">
        <v>10</v>
      </c>
      <c r="D6" s="186">
        <v>5</v>
      </c>
      <c r="E6" s="186">
        <v>42</v>
      </c>
      <c r="F6" s="186">
        <v>134851</v>
      </c>
      <c r="G6" s="186">
        <v>145332</v>
      </c>
      <c r="H6" s="186">
        <v>5901</v>
      </c>
      <c r="I6" s="186">
        <v>564.14332100000013</v>
      </c>
      <c r="J6" s="186">
        <v>-11582</v>
      </c>
      <c r="K6" s="186">
        <v>155501</v>
      </c>
      <c r="L6" s="186">
        <v>117988</v>
      </c>
      <c r="M6" s="186">
        <v>134851</v>
      </c>
      <c r="N6" s="186">
        <v>134851</v>
      </c>
      <c r="O6" s="186">
        <v>2827</v>
      </c>
      <c r="P6" s="186">
        <v>4256</v>
      </c>
      <c r="Q6" s="186">
        <v>0</v>
      </c>
      <c r="R6" s="186">
        <v>0</v>
      </c>
      <c r="S6" s="186">
        <v>-12764</v>
      </c>
      <c r="T6" s="186">
        <v>4800</v>
      </c>
      <c r="U6" s="186">
        <v>0</v>
      </c>
      <c r="V6" s="186">
        <v>0</v>
      </c>
      <c r="W6" s="186">
        <v>-1182</v>
      </c>
      <c r="X6" s="186">
        <v>0</v>
      </c>
      <c r="Y6" s="186">
        <v>11582</v>
      </c>
      <c r="Z6" s="186">
        <v>0</v>
      </c>
      <c r="AA6" s="186">
        <v>0</v>
      </c>
      <c r="AB6" s="186">
        <v>-1182</v>
      </c>
      <c r="AC6" s="186">
        <v>-1182</v>
      </c>
      <c r="AD6" s="186">
        <v>-1182</v>
      </c>
      <c r="AE6" s="186">
        <v>-1182</v>
      </c>
      <c r="AF6" s="186">
        <v>-1182</v>
      </c>
      <c r="AG6" s="186">
        <v>-5672</v>
      </c>
      <c r="AH6" s="187">
        <v>10.8</v>
      </c>
      <c r="AK6" s="196"/>
    </row>
    <row r="7" spans="2:52">
      <c r="B7" s="185" t="s">
        <v>246</v>
      </c>
      <c r="C7" s="186">
        <v>33</v>
      </c>
      <c r="D7" s="186">
        <v>20</v>
      </c>
      <c r="E7" s="186">
        <v>144</v>
      </c>
      <c r="F7" s="186">
        <v>502439</v>
      </c>
      <c r="G7" s="186">
        <v>542332</v>
      </c>
      <c r="H7" s="186">
        <v>22464</v>
      </c>
      <c r="I7" s="186">
        <v>1724.7121970000005</v>
      </c>
      <c r="J7" s="186">
        <v>-43907</v>
      </c>
      <c r="K7" s="186">
        <v>581826</v>
      </c>
      <c r="L7" s="186">
        <v>437807</v>
      </c>
      <c r="M7" s="186">
        <v>502439</v>
      </c>
      <c r="N7" s="186">
        <v>502439</v>
      </c>
      <c r="O7" s="186">
        <v>11605</v>
      </c>
      <c r="P7" s="186">
        <v>15906</v>
      </c>
      <c r="Q7" s="186">
        <v>0</v>
      </c>
      <c r="R7" s="186">
        <v>0</v>
      </c>
      <c r="S7" s="186">
        <v>-48954</v>
      </c>
      <c r="T7" s="186">
        <v>18450</v>
      </c>
      <c r="U7" s="186">
        <v>0</v>
      </c>
      <c r="V7" s="186">
        <v>0</v>
      </c>
      <c r="W7" s="186">
        <v>-5047</v>
      </c>
      <c r="X7" s="186">
        <v>0</v>
      </c>
      <c r="Y7" s="186">
        <v>43907</v>
      </c>
      <c r="Z7" s="186">
        <v>0</v>
      </c>
      <c r="AA7" s="186">
        <v>0</v>
      </c>
      <c r="AB7" s="186">
        <v>-5047</v>
      </c>
      <c r="AC7" s="186">
        <v>-5047</v>
      </c>
      <c r="AD7" s="186">
        <v>-5047</v>
      </c>
      <c r="AE7" s="186">
        <v>-5047</v>
      </c>
      <c r="AF7" s="186">
        <v>-5047</v>
      </c>
      <c r="AG7" s="186">
        <v>-18672</v>
      </c>
      <c r="AH7" s="187">
        <v>9.6999999999999993</v>
      </c>
      <c r="AK7" s="196"/>
    </row>
    <row r="8" spans="2:52">
      <c r="B8" s="185" t="s">
        <v>247</v>
      </c>
      <c r="C8" s="186">
        <v>114</v>
      </c>
      <c r="D8" s="186">
        <v>54</v>
      </c>
      <c r="E8" s="186">
        <v>502</v>
      </c>
      <c r="F8" s="186">
        <v>1591676</v>
      </c>
      <c r="G8" s="186">
        <v>1713411</v>
      </c>
      <c r="H8" s="186">
        <v>73242</v>
      </c>
      <c r="I8" s="186">
        <v>6199.5031119999949</v>
      </c>
      <c r="J8" s="186">
        <v>-132427</v>
      </c>
      <c r="K8" s="186">
        <v>1830029</v>
      </c>
      <c r="L8" s="186">
        <v>1396037</v>
      </c>
      <c r="M8" s="186">
        <v>1591676</v>
      </c>
      <c r="N8" s="186">
        <v>1591676</v>
      </c>
      <c r="O8" s="186">
        <v>37578</v>
      </c>
      <c r="P8" s="186">
        <v>50216</v>
      </c>
      <c r="Q8" s="186">
        <v>0</v>
      </c>
      <c r="R8" s="186">
        <v>0</v>
      </c>
      <c r="S8" s="186">
        <v>-146979</v>
      </c>
      <c r="T8" s="186">
        <v>62550</v>
      </c>
      <c r="U8" s="186">
        <v>0</v>
      </c>
      <c r="V8" s="186">
        <v>0</v>
      </c>
      <c r="W8" s="186">
        <v>-14552</v>
      </c>
      <c r="X8" s="186">
        <v>0</v>
      </c>
      <c r="Y8" s="186">
        <v>132427</v>
      </c>
      <c r="Z8" s="186">
        <v>0</v>
      </c>
      <c r="AA8" s="186">
        <v>0</v>
      </c>
      <c r="AB8" s="186">
        <v>-14552</v>
      </c>
      <c r="AC8" s="186">
        <v>-14552</v>
      </c>
      <c r="AD8" s="186">
        <v>-14552</v>
      </c>
      <c r="AE8" s="186">
        <v>-14552</v>
      </c>
      <c r="AF8" s="186">
        <v>-14552</v>
      </c>
      <c r="AG8" s="186">
        <v>-59667</v>
      </c>
      <c r="AH8" s="187">
        <v>10.1</v>
      </c>
      <c r="AK8" s="180"/>
    </row>
    <row r="9" spans="2:52">
      <c r="B9" s="185" t="s">
        <v>442</v>
      </c>
      <c r="C9" s="186">
        <v>0</v>
      </c>
      <c r="D9" s="186">
        <v>7</v>
      </c>
      <c r="E9" s="186">
        <v>262</v>
      </c>
      <c r="F9" s="186">
        <v>379127</v>
      </c>
      <c r="G9" s="186">
        <v>397775</v>
      </c>
      <c r="H9" s="186">
        <v>29172</v>
      </c>
      <c r="I9" s="186">
        <v>3023.9629749999986</v>
      </c>
      <c r="J9" s="186">
        <v>-47820</v>
      </c>
      <c r="K9" s="186">
        <v>464457</v>
      </c>
      <c r="L9" s="186">
        <v>311039</v>
      </c>
      <c r="M9" s="186">
        <v>379127</v>
      </c>
      <c r="N9" s="186">
        <v>379127</v>
      </c>
      <c r="O9" s="186">
        <v>21484</v>
      </c>
      <c r="P9" s="186">
        <v>12242</v>
      </c>
      <c r="Q9" s="186">
        <v>0</v>
      </c>
      <c r="R9" s="186">
        <v>0</v>
      </c>
      <c r="S9" s="186">
        <v>-52374</v>
      </c>
      <c r="T9" s="186">
        <v>0</v>
      </c>
      <c r="U9" s="186">
        <v>0</v>
      </c>
      <c r="V9" s="186">
        <v>0</v>
      </c>
      <c r="W9" s="186">
        <v>-4554</v>
      </c>
      <c r="X9" s="186">
        <v>0</v>
      </c>
      <c r="Y9" s="186">
        <v>47820</v>
      </c>
      <c r="Z9" s="186">
        <v>0</v>
      </c>
      <c r="AA9" s="186">
        <v>0</v>
      </c>
      <c r="AB9" s="186">
        <v>-4554</v>
      </c>
      <c r="AC9" s="186">
        <v>-4554</v>
      </c>
      <c r="AD9" s="186">
        <v>-4554</v>
      </c>
      <c r="AE9" s="186">
        <v>-4554</v>
      </c>
      <c r="AF9" s="186">
        <v>-4554</v>
      </c>
      <c r="AG9" s="186">
        <v>-25050</v>
      </c>
      <c r="AH9" s="187">
        <v>11.5</v>
      </c>
      <c r="AK9" s="181"/>
    </row>
    <row r="10" spans="2:52">
      <c r="B10" s="185" t="s">
        <v>443</v>
      </c>
      <c r="C10" s="186">
        <v>0</v>
      </c>
      <c r="D10" s="186">
        <v>0</v>
      </c>
      <c r="E10" s="186">
        <v>53</v>
      </c>
      <c r="F10" s="186">
        <v>15663</v>
      </c>
      <c r="G10" s="186">
        <v>15587</v>
      </c>
      <c r="H10" s="186">
        <v>2693</v>
      </c>
      <c r="I10" s="186">
        <v>853.38020499999993</v>
      </c>
      <c r="J10" s="186">
        <v>-2617</v>
      </c>
      <c r="K10" s="186">
        <v>20311</v>
      </c>
      <c r="L10" s="186">
        <v>12002</v>
      </c>
      <c r="M10" s="186">
        <v>15663</v>
      </c>
      <c r="N10" s="186">
        <v>15663</v>
      </c>
      <c r="O10" s="186">
        <v>2342</v>
      </c>
      <c r="P10" s="186">
        <v>524</v>
      </c>
      <c r="Q10" s="186">
        <v>0</v>
      </c>
      <c r="R10" s="186">
        <v>0</v>
      </c>
      <c r="S10" s="186">
        <v>-2790</v>
      </c>
      <c r="T10" s="186">
        <v>0</v>
      </c>
      <c r="U10" s="186">
        <v>0</v>
      </c>
      <c r="V10" s="186">
        <v>0</v>
      </c>
      <c r="W10" s="186">
        <v>-173</v>
      </c>
      <c r="X10" s="186">
        <v>0</v>
      </c>
      <c r="Y10" s="186">
        <v>2617</v>
      </c>
      <c r="Z10" s="186">
        <v>0</v>
      </c>
      <c r="AA10" s="186">
        <v>0</v>
      </c>
      <c r="AB10" s="186">
        <v>-173</v>
      </c>
      <c r="AC10" s="186">
        <v>-173</v>
      </c>
      <c r="AD10" s="186">
        <v>-173</v>
      </c>
      <c r="AE10" s="186">
        <v>-173</v>
      </c>
      <c r="AF10" s="186">
        <v>-173</v>
      </c>
      <c r="AG10" s="186">
        <v>-1752</v>
      </c>
      <c r="AH10" s="187">
        <v>16.100000000000001</v>
      </c>
      <c r="AK10" s="181"/>
    </row>
    <row r="11" spans="2:52">
      <c r="B11" s="185" t="s">
        <v>444</v>
      </c>
      <c r="C11" s="186">
        <v>0</v>
      </c>
      <c r="D11" s="186">
        <v>0</v>
      </c>
      <c r="E11" s="186">
        <v>77</v>
      </c>
      <c r="F11" s="186">
        <v>37065</v>
      </c>
      <c r="G11" s="186">
        <v>37524</v>
      </c>
      <c r="H11" s="186">
        <v>4605</v>
      </c>
      <c r="I11" s="186">
        <v>1062.3908100000003</v>
      </c>
      <c r="J11" s="186">
        <v>-5064</v>
      </c>
      <c r="K11" s="186">
        <v>45902</v>
      </c>
      <c r="L11" s="186">
        <v>30103</v>
      </c>
      <c r="M11" s="186">
        <v>37065</v>
      </c>
      <c r="N11" s="186">
        <v>37065</v>
      </c>
      <c r="O11" s="186">
        <v>3794</v>
      </c>
      <c r="P11" s="186">
        <v>1207</v>
      </c>
      <c r="Q11" s="186">
        <v>0</v>
      </c>
      <c r="R11" s="186">
        <v>0</v>
      </c>
      <c r="S11" s="186">
        <v>-5460</v>
      </c>
      <c r="T11" s="186">
        <v>0</v>
      </c>
      <c r="U11" s="186">
        <v>0</v>
      </c>
      <c r="V11" s="186">
        <v>0</v>
      </c>
      <c r="W11" s="186">
        <v>-396</v>
      </c>
      <c r="X11" s="186">
        <v>0</v>
      </c>
      <c r="Y11" s="186">
        <v>5064</v>
      </c>
      <c r="Z11" s="186">
        <v>0</v>
      </c>
      <c r="AA11" s="186">
        <v>0</v>
      </c>
      <c r="AB11" s="186">
        <v>-396</v>
      </c>
      <c r="AC11" s="186">
        <v>-396</v>
      </c>
      <c r="AD11" s="186">
        <v>-396</v>
      </c>
      <c r="AE11" s="186">
        <v>-396</v>
      </c>
      <c r="AF11" s="186">
        <v>-396</v>
      </c>
      <c r="AG11" s="186">
        <v>-3084</v>
      </c>
      <c r="AH11" s="187">
        <v>13.8</v>
      </c>
      <c r="AK11" s="181"/>
    </row>
    <row r="12" spans="2:52">
      <c r="B12" s="185" t="s">
        <v>445</v>
      </c>
      <c r="C12" s="186">
        <v>0</v>
      </c>
      <c r="D12" s="186">
        <v>0</v>
      </c>
      <c r="E12" s="186">
        <v>91</v>
      </c>
      <c r="F12" s="186">
        <v>53763</v>
      </c>
      <c r="G12" s="186">
        <v>55454</v>
      </c>
      <c r="H12" s="186">
        <v>6488</v>
      </c>
      <c r="I12" s="186">
        <v>1335.7096190000007</v>
      </c>
      <c r="J12" s="186">
        <v>-8179</v>
      </c>
      <c r="K12" s="186">
        <v>68141</v>
      </c>
      <c r="L12" s="186">
        <v>42441</v>
      </c>
      <c r="M12" s="186">
        <v>53763</v>
      </c>
      <c r="N12" s="186">
        <v>53763</v>
      </c>
      <c r="O12" s="186">
        <v>5311</v>
      </c>
      <c r="P12" s="186">
        <v>1774</v>
      </c>
      <c r="Q12" s="186">
        <v>0</v>
      </c>
      <c r="R12" s="186">
        <v>0</v>
      </c>
      <c r="S12" s="186">
        <v>-8776</v>
      </c>
      <c r="T12" s="186">
        <v>0</v>
      </c>
      <c r="U12" s="186">
        <v>0</v>
      </c>
      <c r="V12" s="186">
        <v>0</v>
      </c>
      <c r="W12" s="186">
        <v>-597</v>
      </c>
      <c r="X12" s="186">
        <v>0</v>
      </c>
      <c r="Y12" s="186">
        <v>8179</v>
      </c>
      <c r="Z12" s="186">
        <v>0</v>
      </c>
      <c r="AA12" s="186">
        <v>0</v>
      </c>
      <c r="AB12" s="186">
        <v>-597</v>
      </c>
      <c r="AC12" s="186">
        <v>-597</v>
      </c>
      <c r="AD12" s="186">
        <v>-597</v>
      </c>
      <c r="AE12" s="186">
        <v>-597</v>
      </c>
      <c r="AF12" s="186">
        <v>-597</v>
      </c>
      <c r="AG12" s="186">
        <v>-5194</v>
      </c>
      <c r="AH12" s="187">
        <v>14.7</v>
      </c>
      <c r="AK12" s="196"/>
    </row>
    <row r="13" spans="2:52">
      <c r="B13" s="185" t="s">
        <v>446</v>
      </c>
      <c r="C13" s="186">
        <v>0</v>
      </c>
      <c r="D13" s="186">
        <v>0</v>
      </c>
      <c r="E13" s="186">
        <v>30</v>
      </c>
      <c r="F13" s="186">
        <v>11529</v>
      </c>
      <c r="G13" s="186">
        <v>11916</v>
      </c>
      <c r="H13" s="186">
        <v>1626</v>
      </c>
      <c r="I13" s="186">
        <v>456.77923900000008</v>
      </c>
      <c r="J13" s="186">
        <v>-2013</v>
      </c>
      <c r="K13" s="186">
        <v>15075</v>
      </c>
      <c r="L13" s="186">
        <v>8791</v>
      </c>
      <c r="M13" s="186">
        <v>11529</v>
      </c>
      <c r="N13" s="186">
        <v>11529</v>
      </c>
      <c r="O13" s="186">
        <v>1380</v>
      </c>
      <c r="P13" s="186">
        <v>388</v>
      </c>
      <c r="Q13" s="186">
        <v>0</v>
      </c>
      <c r="R13" s="186">
        <v>0</v>
      </c>
      <c r="S13" s="186">
        <v>-2155</v>
      </c>
      <c r="T13" s="186">
        <v>0</v>
      </c>
      <c r="U13" s="186">
        <v>0</v>
      </c>
      <c r="V13" s="186">
        <v>0</v>
      </c>
      <c r="W13" s="186">
        <v>-142</v>
      </c>
      <c r="X13" s="186">
        <v>0</v>
      </c>
      <c r="Y13" s="186">
        <v>2013</v>
      </c>
      <c r="Z13" s="186">
        <v>0</v>
      </c>
      <c r="AA13" s="186">
        <v>0</v>
      </c>
      <c r="AB13" s="186">
        <v>-142</v>
      </c>
      <c r="AC13" s="186">
        <v>-142</v>
      </c>
      <c r="AD13" s="186">
        <v>-142</v>
      </c>
      <c r="AE13" s="186">
        <v>-142</v>
      </c>
      <c r="AF13" s="186">
        <v>-142</v>
      </c>
      <c r="AG13" s="186">
        <v>-1303</v>
      </c>
      <c r="AH13" s="187">
        <v>15.2</v>
      </c>
      <c r="AK13" s="196"/>
    </row>
    <row r="14" spans="2:52">
      <c r="B14" s="185" t="s">
        <v>248</v>
      </c>
      <c r="C14" s="186">
        <v>77</v>
      </c>
      <c r="D14" s="186">
        <v>16</v>
      </c>
      <c r="E14" s="186">
        <v>115</v>
      </c>
      <c r="F14" s="186">
        <v>688300</v>
      </c>
      <c r="G14" s="186">
        <v>753917</v>
      </c>
      <c r="H14" s="186">
        <v>22680</v>
      </c>
      <c r="I14" s="186">
        <v>1470.8458210000003</v>
      </c>
      <c r="J14" s="186">
        <v>-46747</v>
      </c>
      <c r="K14" s="186">
        <v>775250</v>
      </c>
      <c r="L14" s="186">
        <v>616142</v>
      </c>
      <c r="M14" s="186">
        <v>688300</v>
      </c>
      <c r="N14" s="186">
        <v>688300</v>
      </c>
      <c r="O14" s="186">
        <v>8015</v>
      </c>
      <c r="P14" s="186">
        <v>21642</v>
      </c>
      <c r="Q14" s="186">
        <v>0</v>
      </c>
      <c r="R14" s="186">
        <v>0</v>
      </c>
      <c r="S14" s="186">
        <v>-53724</v>
      </c>
      <c r="T14" s="186">
        <v>41550</v>
      </c>
      <c r="U14" s="186">
        <v>0</v>
      </c>
      <c r="V14" s="186">
        <v>0</v>
      </c>
      <c r="W14" s="186">
        <v>-6977</v>
      </c>
      <c r="X14" s="186">
        <v>0</v>
      </c>
      <c r="Y14" s="186">
        <v>46747</v>
      </c>
      <c r="Z14" s="186">
        <v>0</v>
      </c>
      <c r="AA14" s="186">
        <v>0</v>
      </c>
      <c r="AB14" s="186">
        <v>-6977</v>
      </c>
      <c r="AC14" s="186">
        <v>-6977</v>
      </c>
      <c r="AD14" s="186">
        <v>-6977</v>
      </c>
      <c r="AE14" s="186">
        <v>-6977</v>
      </c>
      <c r="AF14" s="186">
        <v>-6977</v>
      </c>
      <c r="AG14" s="186">
        <v>-11862</v>
      </c>
      <c r="AH14" s="187">
        <v>7.7</v>
      </c>
      <c r="AK14" s="196"/>
    </row>
    <row r="15" spans="2:52">
      <c r="B15" s="185" t="s">
        <v>447</v>
      </c>
      <c r="C15" s="186">
        <v>0</v>
      </c>
      <c r="D15" s="186">
        <v>24</v>
      </c>
      <c r="E15" s="186">
        <v>456</v>
      </c>
      <c r="F15" s="186">
        <v>962633</v>
      </c>
      <c r="G15" s="186">
        <v>1008731</v>
      </c>
      <c r="H15" s="186">
        <v>69197</v>
      </c>
      <c r="I15" s="186">
        <v>5253.8013429999983</v>
      </c>
      <c r="J15" s="186">
        <v>-115295</v>
      </c>
      <c r="K15" s="186">
        <v>1168219</v>
      </c>
      <c r="L15" s="186">
        <v>797935</v>
      </c>
      <c r="M15" s="186">
        <v>962633</v>
      </c>
      <c r="N15" s="186">
        <v>962633</v>
      </c>
      <c r="O15" s="186">
        <v>49284</v>
      </c>
      <c r="P15" s="186">
        <v>30894</v>
      </c>
      <c r="Q15" s="186">
        <v>0</v>
      </c>
      <c r="R15" s="186">
        <v>0</v>
      </c>
      <c r="S15" s="186">
        <v>-126276</v>
      </c>
      <c r="T15" s="186">
        <v>0</v>
      </c>
      <c r="U15" s="186">
        <v>0</v>
      </c>
      <c r="V15" s="186">
        <v>0</v>
      </c>
      <c r="W15" s="186">
        <v>-10981</v>
      </c>
      <c r="X15" s="186">
        <v>0</v>
      </c>
      <c r="Y15" s="186">
        <v>115295</v>
      </c>
      <c r="Z15" s="186">
        <v>0</v>
      </c>
      <c r="AA15" s="186">
        <v>0</v>
      </c>
      <c r="AB15" s="186">
        <v>-10981</v>
      </c>
      <c r="AC15" s="186">
        <v>-10981</v>
      </c>
      <c r="AD15" s="186">
        <v>-10981</v>
      </c>
      <c r="AE15" s="186">
        <v>-10981</v>
      </c>
      <c r="AF15" s="186">
        <v>-10981</v>
      </c>
      <c r="AG15" s="186">
        <v>-60390</v>
      </c>
      <c r="AH15" s="187">
        <v>11.5</v>
      </c>
      <c r="AK15" s="196"/>
    </row>
    <row r="16" spans="2:52">
      <c r="B16" s="185" t="s">
        <v>249</v>
      </c>
      <c r="C16" s="186">
        <v>95</v>
      </c>
      <c r="D16" s="186">
        <v>27</v>
      </c>
      <c r="E16" s="186">
        <v>565</v>
      </c>
      <c r="F16" s="186">
        <v>1437741</v>
      </c>
      <c r="G16" s="186">
        <v>1542298</v>
      </c>
      <c r="H16" s="186">
        <v>75460</v>
      </c>
      <c r="I16" s="186">
        <v>6793.7826959999966</v>
      </c>
      <c r="J16" s="186">
        <v>-130967</v>
      </c>
      <c r="K16" s="186">
        <v>1672907</v>
      </c>
      <c r="L16" s="186">
        <v>1246124</v>
      </c>
      <c r="M16" s="186">
        <v>1437741</v>
      </c>
      <c r="N16" s="186">
        <v>1437741</v>
      </c>
      <c r="O16" s="186">
        <v>43940</v>
      </c>
      <c r="P16" s="186">
        <v>45602</v>
      </c>
      <c r="Q16" s="186">
        <v>0</v>
      </c>
      <c r="R16" s="186">
        <v>0</v>
      </c>
      <c r="S16" s="186">
        <v>-145049</v>
      </c>
      <c r="T16" s="186">
        <v>49050</v>
      </c>
      <c r="U16" s="186">
        <v>0</v>
      </c>
      <c r="V16" s="186">
        <v>0</v>
      </c>
      <c r="W16" s="186">
        <v>-14082</v>
      </c>
      <c r="X16" s="186">
        <v>0</v>
      </c>
      <c r="Y16" s="186">
        <v>130967</v>
      </c>
      <c r="Z16" s="186">
        <v>0</v>
      </c>
      <c r="AA16" s="186">
        <v>0</v>
      </c>
      <c r="AB16" s="186">
        <v>-14082</v>
      </c>
      <c r="AC16" s="186">
        <v>-14082</v>
      </c>
      <c r="AD16" s="186">
        <v>-14082</v>
      </c>
      <c r="AE16" s="186">
        <v>-14082</v>
      </c>
      <c r="AF16" s="186">
        <v>-14082</v>
      </c>
      <c r="AG16" s="186">
        <v>-60557</v>
      </c>
      <c r="AH16" s="187">
        <v>10.3</v>
      </c>
      <c r="AK16" s="196"/>
    </row>
    <row r="17" spans="2:37">
      <c r="B17" s="185" t="s">
        <v>250</v>
      </c>
      <c r="C17" s="186">
        <v>6</v>
      </c>
      <c r="D17" s="186">
        <v>5</v>
      </c>
      <c r="E17" s="186">
        <v>54</v>
      </c>
      <c r="F17" s="186">
        <v>263644</v>
      </c>
      <c r="G17" s="186">
        <v>283131</v>
      </c>
      <c r="H17" s="186">
        <v>14253</v>
      </c>
      <c r="I17" s="186">
        <v>619.1513920000001</v>
      </c>
      <c r="J17" s="186">
        <v>-26840</v>
      </c>
      <c r="K17" s="186">
        <v>312176</v>
      </c>
      <c r="L17" s="186">
        <v>224523</v>
      </c>
      <c r="M17" s="186">
        <v>263644</v>
      </c>
      <c r="N17" s="186">
        <v>263644</v>
      </c>
      <c r="O17" s="186">
        <v>8718</v>
      </c>
      <c r="P17" s="186">
        <v>8421</v>
      </c>
      <c r="Q17" s="186">
        <v>0</v>
      </c>
      <c r="R17" s="186">
        <v>0</v>
      </c>
      <c r="S17" s="186">
        <v>-29726</v>
      </c>
      <c r="T17" s="186">
        <v>6900</v>
      </c>
      <c r="U17" s="186">
        <v>0</v>
      </c>
      <c r="V17" s="186">
        <v>0</v>
      </c>
      <c r="W17" s="186">
        <v>-2886</v>
      </c>
      <c r="X17" s="186">
        <v>0</v>
      </c>
      <c r="Y17" s="186">
        <v>26840</v>
      </c>
      <c r="Z17" s="186">
        <v>0</v>
      </c>
      <c r="AA17" s="186">
        <v>0</v>
      </c>
      <c r="AB17" s="186">
        <v>-2886</v>
      </c>
      <c r="AC17" s="186">
        <v>-2886</v>
      </c>
      <c r="AD17" s="186">
        <v>-2886</v>
      </c>
      <c r="AE17" s="186">
        <v>-2886</v>
      </c>
      <c r="AF17" s="186">
        <v>-2886</v>
      </c>
      <c r="AG17" s="186">
        <v>-12410</v>
      </c>
      <c r="AH17" s="187">
        <v>10.3</v>
      </c>
      <c r="AK17" s="196"/>
    </row>
    <row r="18" spans="2:37">
      <c r="B18" s="185" t="s">
        <v>251</v>
      </c>
      <c r="C18" s="186">
        <v>64</v>
      </c>
      <c r="D18" s="186">
        <v>10</v>
      </c>
      <c r="E18" s="186">
        <v>181</v>
      </c>
      <c r="F18" s="186">
        <v>764470</v>
      </c>
      <c r="G18" s="186">
        <v>824353</v>
      </c>
      <c r="H18" s="186">
        <v>32201</v>
      </c>
      <c r="I18" s="186">
        <v>2036.8789520000014</v>
      </c>
      <c r="J18" s="186">
        <v>-57584</v>
      </c>
      <c r="K18" s="186">
        <v>870421</v>
      </c>
      <c r="L18" s="186">
        <v>676737</v>
      </c>
      <c r="M18" s="186">
        <v>764470</v>
      </c>
      <c r="N18" s="186">
        <v>764470</v>
      </c>
      <c r="O18" s="186">
        <v>16053</v>
      </c>
      <c r="P18" s="186">
        <v>24036</v>
      </c>
      <c r="Q18" s="186">
        <v>0</v>
      </c>
      <c r="R18" s="186">
        <v>0</v>
      </c>
      <c r="S18" s="186">
        <v>-65472</v>
      </c>
      <c r="T18" s="186">
        <v>34500</v>
      </c>
      <c r="U18" s="186">
        <v>0</v>
      </c>
      <c r="V18" s="186">
        <v>0</v>
      </c>
      <c r="W18" s="186">
        <v>-7888</v>
      </c>
      <c r="X18" s="186">
        <v>0</v>
      </c>
      <c r="Y18" s="186">
        <v>57584</v>
      </c>
      <c r="Z18" s="186">
        <v>0</v>
      </c>
      <c r="AA18" s="186">
        <v>0</v>
      </c>
      <c r="AB18" s="186">
        <v>-7888</v>
      </c>
      <c r="AC18" s="186">
        <v>-7888</v>
      </c>
      <c r="AD18" s="186">
        <v>-7888</v>
      </c>
      <c r="AE18" s="186">
        <v>-7888</v>
      </c>
      <c r="AF18" s="186">
        <v>-7888</v>
      </c>
      <c r="AG18" s="186">
        <v>-18144</v>
      </c>
      <c r="AH18" s="187">
        <v>8.3000000000000007</v>
      </c>
      <c r="AK18" s="196"/>
    </row>
    <row r="19" spans="2:37">
      <c r="B19" s="185" t="s">
        <v>252</v>
      </c>
      <c r="C19" s="186">
        <v>31</v>
      </c>
      <c r="D19" s="186">
        <v>7</v>
      </c>
      <c r="E19" s="186">
        <v>139</v>
      </c>
      <c r="F19" s="186">
        <v>459987</v>
      </c>
      <c r="G19" s="186">
        <v>492703</v>
      </c>
      <c r="H19" s="186">
        <v>22114</v>
      </c>
      <c r="I19" s="186">
        <v>1477.4745030000006</v>
      </c>
      <c r="J19" s="186">
        <v>-38180</v>
      </c>
      <c r="K19" s="186">
        <v>529866</v>
      </c>
      <c r="L19" s="186">
        <v>402601</v>
      </c>
      <c r="M19" s="186">
        <v>459987</v>
      </c>
      <c r="N19" s="186">
        <v>459987</v>
      </c>
      <c r="O19" s="186">
        <v>12562</v>
      </c>
      <c r="P19" s="186">
        <v>14511</v>
      </c>
      <c r="Q19" s="186">
        <v>0</v>
      </c>
      <c r="R19" s="186">
        <v>0</v>
      </c>
      <c r="S19" s="186">
        <v>-43139</v>
      </c>
      <c r="T19" s="186">
        <v>16650</v>
      </c>
      <c r="U19" s="186">
        <v>0</v>
      </c>
      <c r="V19" s="186">
        <v>0</v>
      </c>
      <c r="W19" s="186">
        <v>-4959</v>
      </c>
      <c r="X19" s="186">
        <v>0</v>
      </c>
      <c r="Y19" s="186">
        <v>38180</v>
      </c>
      <c r="Z19" s="186">
        <v>0</v>
      </c>
      <c r="AA19" s="186">
        <v>0</v>
      </c>
      <c r="AB19" s="186">
        <v>-4959</v>
      </c>
      <c r="AC19" s="186">
        <v>-4959</v>
      </c>
      <c r="AD19" s="186">
        <v>-4959</v>
      </c>
      <c r="AE19" s="186">
        <v>-4959</v>
      </c>
      <c r="AF19" s="186">
        <v>-4959</v>
      </c>
      <c r="AG19" s="186">
        <v>-13385</v>
      </c>
      <c r="AH19" s="187">
        <v>8.6999999999999993</v>
      </c>
      <c r="AK19" s="196"/>
    </row>
    <row r="20" spans="2:37">
      <c r="B20" s="185" t="s">
        <v>448</v>
      </c>
      <c r="C20" s="186">
        <v>0</v>
      </c>
      <c r="D20" s="186">
        <v>112</v>
      </c>
      <c r="E20" s="186">
        <v>647</v>
      </c>
      <c r="F20" s="186">
        <v>1458216</v>
      </c>
      <c r="G20" s="186">
        <v>1534485</v>
      </c>
      <c r="H20" s="186">
        <v>85094</v>
      </c>
      <c r="I20" s="186">
        <v>7257.5386800000033</v>
      </c>
      <c r="J20" s="186">
        <v>-161363</v>
      </c>
      <c r="K20" s="186">
        <v>1746088</v>
      </c>
      <c r="L20" s="186">
        <v>1226301</v>
      </c>
      <c r="M20" s="186">
        <v>1458216</v>
      </c>
      <c r="N20" s="186">
        <v>1458216</v>
      </c>
      <c r="O20" s="186">
        <v>54515</v>
      </c>
      <c r="P20" s="186">
        <v>46399</v>
      </c>
      <c r="Q20" s="186">
        <v>0</v>
      </c>
      <c r="R20" s="186">
        <v>0</v>
      </c>
      <c r="S20" s="186">
        <v>-177183</v>
      </c>
      <c r="T20" s="186">
        <v>0</v>
      </c>
      <c r="U20" s="186">
        <v>0</v>
      </c>
      <c r="V20" s="186">
        <v>0</v>
      </c>
      <c r="W20" s="186">
        <v>-15820</v>
      </c>
      <c r="X20" s="186">
        <v>0</v>
      </c>
      <c r="Y20" s="186">
        <v>161363</v>
      </c>
      <c r="Z20" s="186">
        <v>0</v>
      </c>
      <c r="AA20" s="186">
        <v>0</v>
      </c>
      <c r="AB20" s="186">
        <v>-15820</v>
      </c>
      <c r="AC20" s="186">
        <v>-15820</v>
      </c>
      <c r="AD20" s="186">
        <v>-15820</v>
      </c>
      <c r="AE20" s="186">
        <v>-15820</v>
      </c>
      <c r="AF20" s="186">
        <v>-15820</v>
      </c>
      <c r="AG20" s="186">
        <v>-82263</v>
      </c>
      <c r="AH20" s="187">
        <v>11.2</v>
      </c>
      <c r="AK20" s="196"/>
    </row>
    <row r="21" spans="2:37">
      <c r="B21" s="185" t="s">
        <v>253</v>
      </c>
      <c r="C21" s="186">
        <v>19</v>
      </c>
      <c r="D21" s="186">
        <v>2</v>
      </c>
      <c r="E21" s="186">
        <v>46</v>
      </c>
      <c r="F21" s="186">
        <v>205076</v>
      </c>
      <c r="G21" s="186">
        <v>223213</v>
      </c>
      <c r="H21" s="186">
        <v>7933</v>
      </c>
      <c r="I21" s="186">
        <v>560.02930400000002</v>
      </c>
      <c r="J21" s="186">
        <v>-15270</v>
      </c>
      <c r="K21" s="186">
        <v>233043</v>
      </c>
      <c r="L21" s="186">
        <v>182053</v>
      </c>
      <c r="M21" s="186">
        <v>205076</v>
      </c>
      <c r="N21" s="186">
        <v>205076</v>
      </c>
      <c r="O21" s="186">
        <v>3480</v>
      </c>
      <c r="P21" s="186">
        <v>6462</v>
      </c>
      <c r="Q21" s="186">
        <v>0</v>
      </c>
      <c r="R21" s="186">
        <v>0</v>
      </c>
      <c r="S21" s="186">
        <v>-17279</v>
      </c>
      <c r="T21" s="186">
        <v>10800</v>
      </c>
      <c r="U21" s="186">
        <v>0</v>
      </c>
      <c r="V21" s="186">
        <v>0</v>
      </c>
      <c r="W21" s="186">
        <v>-2009</v>
      </c>
      <c r="X21" s="186">
        <v>0</v>
      </c>
      <c r="Y21" s="186">
        <v>15270</v>
      </c>
      <c r="Z21" s="186">
        <v>0</v>
      </c>
      <c r="AA21" s="186">
        <v>0</v>
      </c>
      <c r="AB21" s="186">
        <v>-2009</v>
      </c>
      <c r="AC21" s="186">
        <v>-2009</v>
      </c>
      <c r="AD21" s="186">
        <v>-2009</v>
      </c>
      <c r="AE21" s="186">
        <v>-2009</v>
      </c>
      <c r="AF21" s="186">
        <v>-2009</v>
      </c>
      <c r="AG21" s="186">
        <v>-5225</v>
      </c>
      <c r="AH21" s="187">
        <v>8.6</v>
      </c>
      <c r="AK21" s="196"/>
    </row>
    <row r="22" spans="2:37">
      <c r="B22" s="185" t="s">
        <v>254</v>
      </c>
      <c r="C22" s="186">
        <v>183</v>
      </c>
      <c r="D22" s="186">
        <v>64</v>
      </c>
      <c r="E22" s="186">
        <v>668</v>
      </c>
      <c r="F22" s="186">
        <v>2300585</v>
      </c>
      <c r="G22" s="186">
        <v>2486958</v>
      </c>
      <c r="H22" s="186">
        <v>101755</v>
      </c>
      <c r="I22" s="186">
        <v>8215.5705340000022</v>
      </c>
      <c r="J22" s="186">
        <v>-189728</v>
      </c>
      <c r="K22" s="186">
        <v>2643992</v>
      </c>
      <c r="L22" s="186">
        <v>2019087</v>
      </c>
      <c r="M22" s="186">
        <v>2300585</v>
      </c>
      <c r="N22" s="186">
        <v>2300585</v>
      </c>
      <c r="O22" s="186">
        <v>50894</v>
      </c>
      <c r="P22" s="186">
        <v>72669</v>
      </c>
      <c r="Q22" s="186">
        <v>0</v>
      </c>
      <c r="R22" s="186">
        <v>0</v>
      </c>
      <c r="S22" s="186">
        <v>-211536</v>
      </c>
      <c r="T22" s="186">
        <v>98400</v>
      </c>
      <c r="U22" s="186">
        <v>0</v>
      </c>
      <c r="V22" s="186">
        <v>0</v>
      </c>
      <c r="W22" s="186">
        <v>-21808</v>
      </c>
      <c r="X22" s="186">
        <v>0</v>
      </c>
      <c r="Y22" s="186">
        <v>189728</v>
      </c>
      <c r="Z22" s="186">
        <v>0</v>
      </c>
      <c r="AA22" s="186">
        <v>0</v>
      </c>
      <c r="AB22" s="186">
        <v>-21808</v>
      </c>
      <c r="AC22" s="186">
        <v>-21808</v>
      </c>
      <c r="AD22" s="186">
        <v>-21808</v>
      </c>
      <c r="AE22" s="186">
        <v>-21808</v>
      </c>
      <c r="AF22" s="186">
        <v>-21808</v>
      </c>
      <c r="AG22" s="186">
        <v>-80688</v>
      </c>
      <c r="AH22" s="187">
        <v>9.6999999999999993</v>
      </c>
      <c r="AK22" s="196"/>
    </row>
    <row r="23" spans="2:37">
      <c r="B23" s="185" t="s">
        <v>255</v>
      </c>
      <c r="C23" s="186">
        <v>89</v>
      </c>
      <c r="D23" s="186">
        <v>46</v>
      </c>
      <c r="E23" s="186">
        <v>284</v>
      </c>
      <c r="F23" s="186">
        <v>1152243</v>
      </c>
      <c r="G23" s="186">
        <v>1248279</v>
      </c>
      <c r="H23" s="186">
        <v>46177</v>
      </c>
      <c r="I23" s="186">
        <v>3590.5209669999972</v>
      </c>
      <c r="J23" s="186">
        <v>-92563</v>
      </c>
      <c r="K23" s="186">
        <v>1319847</v>
      </c>
      <c r="L23" s="186">
        <v>1014252</v>
      </c>
      <c r="M23" s="186">
        <v>1152243</v>
      </c>
      <c r="N23" s="186">
        <v>1152243</v>
      </c>
      <c r="O23" s="186">
        <v>20613</v>
      </c>
      <c r="P23" s="186">
        <v>36327</v>
      </c>
      <c r="Q23" s="186">
        <v>0</v>
      </c>
      <c r="R23" s="186">
        <v>0</v>
      </c>
      <c r="S23" s="186">
        <v>-103326</v>
      </c>
      <c r="T23" s="186">
        <v>49650</v>
      </c>
      <c r="U23" s="186">
        <v>0</v>
      </c>
      <c r="V23" s="186">
        <v>0</v>
      </c>
      <c r="W23" s="186">
        <v>-10763</v>
      </c>
      <c r="X23" s="186">
        <v>0</v>
      </c>
      <c r="Y23" s="186">
        <v>92563</v>
      </c>
      <c r="Z23" s="186">
        <v>0</v>
      </c>
      <c r="AA23" s="186">
        <v>0</v>
      </c>
      <c r="AB23" s="186">
        <v>-10763</v>
      </c>
      <c r="AC23" s="186">
        <v>-10763</v>
      </c>
      <c r="AD23" s="186">
        <v>-10763</v>
      </c>
      <c r="AE23" s="186">
        <v>-10763</v>
      </c>
      <c r="AF23" s="186">
        <v>-10763</v>
      </c>
      <c r="AG23" s="186">
        <v>-38748</v>
      </c>
      <c r="AH23" s="187">
        <v>9.6</v>
      </c>
      <c r="AK23" s="196"/>
    </row>
    <row r="24" spans="2:37">
      <c r="B24" s="185" t="s">
        <v>256</v>
      </c>
      <c r="C24" s="186">
        <v>148</v>
      </c>
      <c r="D24" s="186">
        <v>68</v>
      </c>
      <c r="E24" s="186">
        <v>380</v>
      </c>
      <c r="F24" s="186">
        <v>1874198</v>
      </c>
      <c r="G24" s="186">
        <v>2024170</v>
      </c>
      <c r="H24" s="186">
        <v>71987</v>
      </c>
      <c r="I24" s="186">
        <v>4173.2626779999955</v>
      </c>
      <c r="J24" s="186">
        <v>-140359</v>
      </c>
      <c r="K24" s="186">
        <v>2134313</v>
      </c>
      <c r="L24" s="186">
        <v>1658395</v>
      </c>
      <c r="M24" s="186">
        <v>1874198</v>
      </c>
      <c r="N24" s="186">
        <v>1874198</v>
      </c>
      <c r="O24" s="186">
        <v>33438</v>
      </c>
      <c r="P24" s="186">
        <v>58891</v>
      </c>
      <c r="Q24" s="186">
        <v>0</v>
      </c>
      <c r="R24" s="186">
        <v>0</v>
      </c>
      <c r="S24" s="186">
        <v>-160701</v>
      </c>
      <c r="T24" s="186">
        <v>81600</v>
      </c>
      <c r="U24" s="186">
        <v>0</v>
      </c>
      <c r="V24" s="186">
        <v>0</v>
      </c>
      <c r="W24" s="186">
        <v>-20342</v>
      </c>
      <c r="X24" s="186">
        <v>0</v>
      </c>
      <c r="Y24" s="186">
        <v>140359</v>
      </c>
      <c r="Z24" s="186">
        <v>0</v>
      </c>
      <c r="AA24" s="186">
        <v>0</v>
      </c>
      <c r="AB24" s="186">
        <v>-20342</v>
      </c>
      <c r="AC24" s="186">
        <v>-20342</v>
      </c>
      <c r="AD24" s="186">
        <v>-20342</v>
      </c>
      <c r="AE24" s="186">
        <v>-20342</v>
      </c>
      <c r="AF24" s="186">
        <v>-20342</v>
      </c>
      <c r="AG24" s="186">
        <v>-38649</v>
      </c>
      <c r="AH24" s="187">
        <v>7.9</v>
      </c>
      <c r="AK24" s="196"/>
    </row>
    <row r="25" spans="2:37">
      <c r="B25" s="185" t="s">
        <v>257</v>
      </c>
      <c r="C25" s="186">
        <v>30</v>
      </c>
      <c r="D25" s="186">
        <v>6</v>
      </c>
      <c r="E25" s="186">
        <v>139</v>
      </c>
      <c r="F25" s="186">
        <v>437264</v>
      </c>
      <c r="G25" s="186">
        <v>468497</v>
      </c>
      <c r="H25" s="186">
        <v>21346</v>
      </c>
      <c r="I25" s="186">
        <v>1488.9435760000003</v>
      </c>
      <c r="J25" s="186">
        <v>-36079</v>
      </c>
      <c r="K25" s="186">
        <v>503137</v>
      </c>
      <c r="L25" s="186">
        <v>383133</v>
      </c>
      <c r="M25" s="186">
        <v>437264</v>
      </c>
      <c r="N25" s="186">
        <v>437264</v>
      </c>
      <c r="O25" s="186">
        <v>12176</v>
      </c>
      <c r="P25" s="186">
        <v>13795</v>
      </c>
      <c r="Q25" s="186">
        <v>0</v>
      </c>
      <c r="R25" s="186">
        <v>0</v>
      </c>
      <c r="S25" s="186">
        <v>-40704</v>
      </c>
      <c r="T25" s="186">
        <v>16500</v>
      </c>
      <c r="U25" s="186">
        <v>0</v>
      </c>
      <c r="V25" s="186">
        <v>0</v>
      </c>
      <c r="W25" s="186">
        <v>-4625</v>
      </c>
      <c r="X25" s="186">
        <v>0</v>
      </c>
      <c r="Y25" s="186">
        <v>36079</v>
      </c>
      <c r="Z25" s="186">
        <v>0</v>
      </c>
      <c r="AA25" s="186">
        <v>0</v>
      </c>
      <c r="AB25" s="186">
        <v>-4625</v>
      </c>
      <c r="AC25" s="186">
        <v>-4625</v>
      </c>
      <c r="AD25" s="186">
        <v>-4625</v>
      </c>
      <c r="AE25" s="186">
        <v>-4625</v>
      </c>
      <c r="AF25" s="186">
        <v>-4625</v>
      </c>
      <c r="AG25" s="186">
        <v>-12954</v>
      </c>
      <c r="AH25" s="187">
        <v>8.8000000000000007</v>
      </c>
      <c r="AK25" s="196"/>
    </row>
    <row r="26" spans="2:37">
      <c r="B26" s="185" t="s">
        <v>258</v>
      </c>
      <c r="C26" s="186">
        <v>4</v>
      </c>
      <c r="D26" s="186">
        <v>1</v>
      </c>
      <c r="E26" s="186">
        <v>15</v>
      </c>
      <c r="F26" s="186">
        <v>48366</v>
      </c>
      <c r="G26" s="186">
        <v>51808</v>
      </c>
      <c r="H26" s="186">
        <v>2434</v>
      </c>
      <c r="I26" s="186">
        <v>162.16283100000001</v>
      </c>
      <c r="J26" s="186">
        <v>-3776</v>
      </c>
      <c r="K26" s="186">
        <v>55303</v>
      </c>
      <c r="L26" s="186">
        <v>42605</v>
      </c>
      <c r="M26" s="186">
        <v>48366</v>
      </c>
      <c r="N26" s="186">
        <v>48366</v>
      </c>
      <c r="O26" s="186">
        <v>1415</v>
      </c>
      <c r="P26" s="186">
        <v>1523</v>
      </c>
      <c r="Q26" s="186">
        <v>0</v>
      </c>
      <c r="R26" s="186">
        <v>0</v>
      </c>
      <c r="S26" s="186">
        <v>-4280</v>
      </c>
      <c r="T26" s="186">
        <v>2100</v>
      </c>
      <c r="U26" s="186">
        <v>0</v>
      </c>
      <c r="V26" s="186">
        <v>0</v>
      </c>
      <c r="W26" s="186">
        <v>-504</v>
      </c>
      <c r="X26" s="186">
        <v>0</v>
      </c>
      <c r="Y26" s="186">
        <v>3776</v>
      </c>
      <c r="Z26" s="186">
        <v>0</v>
      </c>
      <c r="AA26" s="186">
        <v>0</v>
      </c>
      <c r="AB26" s="186">
        <v>-504</v>
      </c>
      <c r="AC26" s="186">
        <v>-504</v>
      </c>
      <c r="AD26" s="186">
        <v>-504</v>
      </c>
      <c r="AE26" s="186">
        <v>-504</v>
      </c>
      <c r="AF26" s="186">
        <v>-504</v>
      </c>
      <c r="AG26" s="186">
        <v>-1256</v>
      </c>
      <c r="AH26" s="187">
        <v>8.5</v>
      </c>
      <c r="AK26" s="196"/>
    </row>
    <row r="27" spans="2:37">
      <c r="B27" s="185" t="s">
        <v>259</v>
      </c>
      <c r="C27" s="186">
        <v>129</v>
      </c>
      <c r="D27" s="186">
        <v>102</v>
      </c>
      <c r="E27" s="186">
        <v>704</v>
      </c>
      <c r="F27" s="186">
        <v>23104457</v>
      </c>
      <c r="G27" s="186">
        <v>23526398</v>
      </c>
      <c r="H27" s="186">
        <v>2218463</v>
      </c>
      <c r="I27" s="186">
        <v>7043.1988720000027</v>
      </c>
      <c r="J27" s="186">
        <v>-2421340</v>
      </c>
      <c r="K27" s="186">
        <v>27540114</v>
      </c>
      <c r="L27" s="186">
        <v>19437868</v>
      </c>
      <c r="M27" s="186">
        <v>18554135</v>
      </c>
      <c r="N27" s="186">
        <v>29173315</v>
      </c>
      <c r="O27" s="186">
        <v>1804834</v>
      </c>
      <c r="P27" s="186">
        <v>736474</v>
      </c>
      <c r="Q27" s="186">
        <v>0</v>
      </c>
      <c r="R27" s="186">
        <v>0</v>
      </c>
      <c r="S27" s="186">
        <v>-2744185</v>
      </c>
      <c r="T27" s="186">
        <v>219064</v>
      </c>
      <c r="U27" s="186">
        <v>0</v>
      </c>
      <c r="V27" s="186">
        <v>0</v>
      </c>
      <c r="W27" s="186">
        <v>-322845</v>
      </c>
      <c r="X27" s="186">
        <v>0</v>
      </c>
      <c r="Y27" s="186">
        <v>2421340</v>
      </c>
      <c r="Z27" s="186">
        <v>0</v>
      </c>
      <c r="AA27" s="186">
        <v>0</v>
      </c>
      <c r="AB27" s="186">
        <v>-322845</v>
      </c>
      <c r="AC27" s="186">
        <v>-322845</v>
      </c>
      <c r="AD27" s="186">
        <v>-322845</v>
      </c>
      <c r="AE27" s="186">
        <v>-322845</v>
      </c>
      <c r="AF27" s="186">
        <v>-322845</v>
      </c>
      <c r="AG27" s="186">
        <v>-807115</v>
      </c>
      <c r="AH27" s="187">
        <v>8.5</v>
      </c>
      <c r="AK27" s="196"/>
    </row>
    <row r="28" spans="2:37">
      <c r="B28" s="185" t="s">
        <v>260</v>
      </c>
      <c r="C28" s="186">
        <v>55</v>
      </c>
      <c r="D28" s="186">
        <v>41</v>
      </c>
      <c r="E28" s="186">
        <v>434</v>
      </c>
      <c r="F28" s="186">
        <v>1012688</v>
      </c>
      <c r="G28" s="186">
        <v>1084508</v>
      </c>
      <c r="H28" s="186">
        <v>52338</v>
      </c>
      <c r="I28" s="186">
        <v>5415.1456599999919</v>
      </c>
      <c r="J28" s="186">
        <v>-95058</v>
      </c>
      <c r="K28" s="186">
        <v>1182384</v>
      </c>
      <c r="L28" s="186">
        <v>875139</v>
      </c>
      <c r="M28" s="186">
        <v>1012688</v>
      </c>
      <c r="N28" s="186">
        <v>1012688</v>
      </c>
      <c r="O28" s="186">
        <v>29642</v>
      </c>
      <c r="P28" s="186">
        <v>32108</v>
      </c>
      <c r="Q28" s="186">
        <v>0</v>
      </c>
      <c r="R28" s="186">
        <v>0</v>
      </c>
      <c r="S28" s="186">
        <v>-104470</v>
      </c>
      <c r="T28" s="186">
        <v>29100</v>
      </c>
      <c r="U28" s="186">
        <v>0</v>
      </c>
      <c r="V28" s="186">
        <v>0</v>
      </c>
      <c r="W28" s="186">
        <v>-9412</v>
      </c>
      <c r="X28" s="186">
        <v>0</v>
      </c>
      <c r="Y28" s="186">
        <v>95058</v>
      </c>
      <c r="Z28" s="186">
        <v>0</v>
      </c>
      <c r="AA28" s="186">
        <v>0</v>
      </c>
      <c r="AB28" s="186">
        <v>-9412</v>
      </c>
      <c r="AC28" s="186">
        <v>-9412</v>
      </c>
      <c r="AD28" s="186">
        <v>-9412</v>
      </c>
      <c r="AE28" s="186">
        <v>-9412</v>
      </c>
      <c r="AF28" s="186">
        <v>-9412</v>
      </c>
      <c r="AG28" s="186">
        <v>-47998</v>
      </c>
      <c r="AH28" s="187">
        <v>11.1</v>
      </c>
      <c r="AK28" s="196"/>
    </row>
    <row r="29" spans="2:37">
      <c r="B29" s="185" t="s">
        <v>261</v>
      </c>
      <c r="C29" s="186">
        <v>38</v>
      </c>
      <c r="D29" s="186">
        <v>15</v>
      </c>
      <c r="E29" s="186">
        <v>173</v>
      </c>
      <c r="F29" s="186">
        <v>562883</v>
      </c>
      <c r="G29" s="186">
        <v>606773</v>
      </c>
      <c r="H29" s="186">
        <v>26509</v>
      </c>
      <c r="I29" s="186">
        <v>2053.1681580000009</v>
      </c>
      <c r="J29" s="186">
        <v>-49549</v>
      </c>
      <c r="K29" s="186">
        <v>652927</v>
      </c>
      <c r="L29" s="186">
        <v>489643</v>
      </c>
      <c r="M29" s="186">
        <v>562883</v>
      </c>
      <c r="N29" s="186">
        <v>562883</v>
      </c>
      <c r="O29" s="186">
        <v>14371</v>
      </c>
      <c r="P29" s="186">
        <v>17833</v>
      </c>
      <c r="Q29" s="186">
        <v>0</v>
      </c>
      <c r="R29" s="186">
        <v>0</v>
      </c>
      <c r="S29" s="186">
        <v>-55244</v>
      </c>
      <c r="T29" s="186">
        <v>20850</v>
      </c>
      <c r="U29" s="186">
        <v>0</v>
      </c>
      <c r="V29" s="186">
        <v>0</v>
      </c>
      <c r="W29" s="186">
        <v>-5695</v>
      </c>
      <c r="X29" s="186">
        <v>0</v>
      </c>
      <c r="Y29" s="186">
        <v>49549</v>
      </c>
      <c r="Z29" s="186">
        <v>0</v>
      </c>
      <c r="AA29" s="186">
        <v>0</v>
      </c>
      <c r="AB29" s="186">
        <v>-5695</v>
      </c>
      <c r="AC29" s="186">
        <v>-5695</v>
      </c>
      <c r="AD29" s="186">
        <v>-5695</v>
      </c>
      <c r="AE29" s="186">
        <v>-5695</v>
      </c>
      <c r="AF29" s="186">
        <v>-5695</v>
      </c>
      <c r="AG29" s="186">
        <v>-21074</v>
      </c>
      <c r="AH29" s="187">
        <v>9.6999999999999993</v>
      </c>
      <c r="AK29" s="196"/>
    </row>
    <row r="30" spans="2:37">
      <c r="B30" s="185" t="s">
        <v>262</v>
      </c>
      <c r="C30" s="186">
        <v>20</v>
      </c>
      <c r="D30" s="186">
        <v>6</v>
      </c>
      <c r="E30" s="186">
        <v>53</v>
      </c>
      <c r="F30" s="186">
        <v>221785</v>
      </c>
      <c r="G30" s="186">
        <v>240383</v>
      </c>
      <c r="H30" s="186">
        <v>8983</v>
      </c>
      <c r="I30" s="186">
        <v>655.26394400000015</v>
      </c>
      <c r="J30" s="186">
        <v>-16931</v>
      </c>
      <c r="K30" s="186">
        <v>252555</v>
      </c>
      <c r="L30" s="186">
        <v>196345</v>
      </c>
      <c r="M30" s="186">
        <v>221785</v>
      </c>
      <c r="N30" s="186">
        <v>221785</v>
      </c>
      <c r="O30" s="186">
        <v>4115</v>
      </c>
      <c r="P30" s="186">
        <v>6984</v>
      </c>
      <c r="Q30" s="186">
        <v>0</v>
      </c>
      <c r="R30" s="186">
        <v>0</v>
      </c>
      <c r="S30" s="186">
        <v>-19047</v>
      </c>
      <c r="T30" s="186">
        <v>10650</v>
      </c>
      <c r="U30" s="186">
        <v>0</v>
      </c>
      <c r="V30" s="186">
        <v>0</v>
      </c>
      <c r="W30" s="186">
        <v>-2116</v>
      </c>
      <c r="X30" s="186">
        <v>0</v>
      </c>
      <c r="Y30" s="186">
        <v>16931</v>
      </c>
      <c r="Z30" s="186">
        <v>0</v>
      </c>
      <c r="AA30" s="186">
        <v>0</v>
      </c>
      <c r="AB30" s="186">
        <v>-2116</v>
      </c>
      <c r="AC30" s="186">
        <v>-2116</v>
      </c>
      <c r="AD30" s="186">
        <v>-2116</v>
      </c>
      <c r="AE30" s="186">
        <v>-2116</v>
      </c>
      <c r="AF30" s="186">
        <v>-2116</v>
      </c>
      <c r="AG30" s="186">
        <v>-6351</v>
      </c>
      <c r="AH30" s="187">
        <v>9</v>
      </c>
      <c r="AK30" s="196"/>
    </row>
    <row r="31" spans="2:37">
      <c r="B31" s="185" t="s">
        <v>263</v>
      </c>
      <c r="C31" s="186">
        <v>39</v>
      </c>
      <c r="D31" s="186">
        <v>16</v>
      </c>
      <c r="E31" s="186">
        <v>64</v>
      </c>
      <c r="F31" s="186">
        <v>964308</v>
      </c>
      <c r="G31" s="186">
        <v>1050404</v>
      </c>
      <c r="H31" s="186">
        <v>32773</v>
      </c>
      <c r="I31" s="186">
        <v>806.03221300000018</v>
      </c>
      <c r="J31" s="186">
        <v>-73569</v>
      </c>
      <c r="K31" s="186">
        <v>1101364</v>
      </c>
      <c r="L31" s="186">
        <v>851914</v>
      </c>
      <c r="M31" s="186">
        <v>964308</v>
      </c>
      <c r="N31" s="186">
        <v>964308</v>
      </c>
      <c r="O31" s="186">
        <v>13196</v>
      </c>
      <c r="P31" s="186">
        <v>30396</v>
      </c>
      <c r="Q31" s="186">
        <v>0</v>
      </c>
      <c r="R31" s="186">
        <v>0</v>
      </c>
      <c r="S31" s="186">
        <v>-84388</v>
      </c>
      <c r="T31" s="186">
        <v>45300</v>
      </c>
      <c r="U31" s="186">
        <v>0</v>
      </c>
      <c r="V31" s="186">
        <v>0</v>
      </c>
      <c r="W31" s="186">
        <v>-10819</v>
      </c>
      <c r="X31" s="186">
        <v>0</v>
      </c>
      <c r="Y31" s="186">
        <v>73569</v>
      </c>
      <c r="Z31" s="186">
        <v>0</v>
      </c>
      <c r="AA31" s="186">
        <v>0</v>
      </c>
      <c r="AB31" s="186">
        <v>-10819</v>
      </c>
      <c r="AC31" s="186">
        <v>-10819</v>
      </c>
      <c r="AD31" s="186">
        <v>-10819</v>
      </c>
      <c r="AE31" s="186">
        <v>-10819</v>
      </c>
      <c r="AF31" s="186">
        <v>-10819</v>
      </c>
      <c r="AG31" s="186">
        <v>-19474</v>
      </c>
      <c r="AH31" s="187">
        <v>7.8</v>
      </c>
      <c r="AK31" s="196"/>
    </row>
    <row r="32" spans="2:37">
      <c r="B32" s="185" t="s">
        <v>264</v>
      </c>
      <c r="C32" s="186">
        <v>112</v>
      </c>
      <c r="D32" s="186">
        <v>45</v>
      </c>
      <c r="E32" s="186">
        <v>409</v>
      </c>
      <c r="F32" s="186">
        <v>1394519</v>
      </c>
      <c r="G32" s="186">
        <v>1502266</v>
      </c>
      <c r="H32" s="186">
        <v>61809</v>
      </c>
      <c r="I32" s="186">
        <v>4965.0695110000015</v>
      </c>
      <c r="J32" s="186">
        <v>-108956</v>
      </c>
      <c r="K32" s="186">
        <v>1591673</v>
      </c>
      <c r="L32" s="186">
        <v>1232142</v>
      </c>
      <c r="M32" s="186">
        <v>1394519</v>
      </c>
      <c r="N32" s="186">
        <v>1394519</v>
      </c>
      <c r="O32" s="186">
        <v>30748</v>
      </c>
      <c r="P32" s="186">
        <v>43879</v>
      </c>
      <c r="Q32" s="186">
        <v>0</v>
      </c>
      <c r="R32" s="186">
        <v>0</v>
      </c>
      <c r="S32" s="186">
        <v>-121774</v>
      </c>
      <c r="T32" s="186">
        <v>60600</v>
      </c>
      <c r="U32" s="186">
        <v>0</v>
      </c>
      <c r="V32" s="186">
        <v>0</v>
      </c>
      <c r="W32" s="186">
        <v>-12818</v>
      </c>
      <c r="X32" s="186">
        <v>0</v>
      </c>
      <c r="Y32" s="186">
        <v>108956</v>
      </c>
      <c r="Z32" s="186">
        <v>0</v>
      </c>
      <c r="AA32" s="186">
        <v>0</v>
      </c>
      <c r="AB32" s="186">
        <v>-12818</v>
      </c>
      <c r="AC32" s="186">
        <v>-12818</v>
      </c>
      <c r="AD32" s="186">
        <v>-12818</v>
      </c>
      <c r="AE32" s="186">
        <v>-12818</v>
      </c>
      <c r="AF32" s="186">
        <v>-12818</v>
      </c>
      <c r="AG32" s="186">
        <v>-44866</v>
      </c>
      <c r="AH32" s="187">
        <v>9.5</v>
      </c>
      <c r="AK32" s="196"/>
    </row>
    <row r="33" spans="2:37">
      <c r="B33" s="185" t="s">
        <v>265</v>
      </c>
      <c r="C33" s="186">
        <v>21</v>
      </c>
      <c r="D33" s="186">
        <v>10</v>
      </c>
      <c r="E33" s="186">
        <v>114</v>
      </c>
      <c r="F33" s="186">
        <v>728210</v>
      </c>
      <c r="G33" s="186">
        <v>779932</v>
      </c>
      <c r="H33" s="186">
        <v>32786</v>
      </c>
      <c r="I33" s="186">
        <v>1242.3179030000013</v>
      </c>
      <c r="J33" s="186">
        <v>-62608</v>
      </c>
      <c r="K33" s="186">
        <v>842271</v>
      </c>
      <c r="L33" s="186">
        <v>634758</v>
      </c>
      <c r="M33" s="186">
        <v>728210</v>
      </c>
      <c r="N33" s="186">
        <v>728210</v>
      </c>
      <c r="O33" s="186">
        <v>17457</v>
      </c>
      <c r="P33" s="186">
        <v>22964</v>
      </c>
      <c r="Q33" s="186">
        <v>0</v>
      </c>
      <c r="R33" s="186">
        <v>0</v>
      </c>
      <c r="S33" s="186">
        <v>-70243</v>
      </c>
      <c r="T33" s="186">
        <v>21900</v>
      </c>
      <c r="U33" s="186">
        <v>0</v>
      </c>
      <c r="V33" s="186">
        <v>0</v>
      </c>
      <c r="W33" s="186">
        <v>-7635</v>
      </c>
      <c r="X33" s="186">
        <v>0</v>
      </c>
      <c r="Y33" s="186">
        <v>62608</v>
      </c>
      <c r="Z33" s="186">
        <v>0</v>
      </c>
      <c r="AA33" s="186">
        <v>0</v>
      </c>
      <c r="AB33" s="186">
        <v>-7635</v>
      </c>
      <c r="AC33" s="186">
        <v>-7635</v>
      </c>
      <c r="AD33" s="186">
        <v>-7635</v>
      </c>
      <c r="AE33" s="186">
        <v>-7635</v>
      </c>
      <c r="AF33" s="186">
        <v>-7635</v>
      </c>
      <c r="AG33" s="186">
        <v>-24433</v>
      </c>
      <c r="AH33" s="187">
        <v>9.1999999999999993</v>
      </c>
      <c r="AK33" s="196"/>
    </row>
    <row r="34" spans="2:37">
      <c r="B34" s="185" t="s">
        <v>266</v>
      </c>
      <c r="C34" s="186">
        <v>85</v>
      </c>
      <c r="D34" s="186">
        <v>35</v>
      </c>
      <c r="E34" s="186">
        <v>322</v>
      </c>
      <c r="F34" s="186">
        <v>1197027</v>
      </c>
      <c r="G34" s="186">
        <v>1285431</v>
      </c>
      <c r="H34" s="186">
        <v>52176</v>
      </c>
      <c r="I34" s="186">
        <v>3590.1202159999993</v>
      </c>
      <c r="J34" s="186">
        <v>-94980</v>
      </c>
      <c r="K34" s="186">
        <v>1370536</v>
      </c>
      <c r="L34" s="186">
        <v>1053909</v>
      </c>
      <c r="M34" s="186">
        <v>1197027</v>
      </c>
      <c r="N34" s="186">
        <v>1197027</v>
      </c>
      <c r="O34" s="186">
        <v>26704</v>
      </c>
      <c r="P34" s="186">
        <v>37649</v>
      </c>
      <c r="Q34" s="186">
        <v>0</v>
      </c>
      <c r="R34" s="186">
        <v>0</v>
      </c>
      <c r="S34" s="186">
        <v>-107157</v>
      </c>
      <c r="T34" s="186">
        <v>45600</v>
      </c>
      <c r="U34" s="186">
        <v>0</v>
      </c>
      <c r="V34" s="186">
        <v>0</v>
      </c>
      <c r="W34" s="186">
        <v>-12177</v>
      </c>
      <c r="X34" s="186">
        <v>0</v>
      </c>
      <c r="Y34" s="186">
        <v>94980</v>
      </c>
      <c r="Z34" s="186">
        <v>0</v>
      </c>
      <c r="AA34" s="186">
        <v>0</v>
      </c>
      <c r="AB34" s="186">
        <v>-12177</v>
      </c>
      <c r="AC34" s="186">
        <v>-12177</v>
      </c>
      <c r="AD34" s="186">
        <v>-12177</v>
      </c>
      <c r="AE34" s="186">
        <v>-12177</v>
      </c>
      <c r="AF34" s="186">
        <v>-12177</v>
      </c>
      <c r="AG34" s="186">
        <v>-34095</v>
      </c>
      <c r="AH34" s="187">
        <v>8.8000000000000007</v>
      </c>
      <c r="AK34" s="196"/>
    </row>
    <row r="35" spans="2:37">
      <c r="B35" s="185" t="s">
        <v>267</v>
      </c>
      <c r="C35" s="186">
        <v>95</v>
      </c>
      <c r="D35" s="186">
        <v>40</v>
      </c>
      <c r="E35" s="186">
        <v>335</v>
      </c>
      <c r="F35" s="186">
        <v>1236542</v>
      </c>
      <c r="G35" s="186">
        <v>1334425</v>
      </c>
      <c r="H35" s="186">
        <v>53141</v>
      </c>
      <c r="I35" s="186">
        <v>3988.7905319999995</v>
      </c>
      <c r="J35" s="186">
        <v>-100924</v>
      </c>
      <c r="K35" s="186">
        <v>1419610</v>
      </c>
      <c r="L35" s="186">
        <v>1086249</v>
      </c>
      <c r="M35" s="186">
        <v>1236542</v>
      </c>
      <c r="N35" s="186">
        <v>1236542</v>
      </c>
      <c r="O35" s="186">
        <v>26298</v>
      </c>
      <c r="P35" s="186">
        <v>39002</v>
      </c>
      <c r="Q35" s="186">
        <v>0</v>
      </c>
      <c r="R35" s="186">
        <v>0</v>
      </c>
      <c r="S35" s="186">
        <v>-113083</v>
      </c>
      <c r="T35" s="186">
        <v>50100</v>
      </c>
      <c r="U35" s="186">
        <v>0</v>
      </c>
      <c r="V35" s="186">
        <v>0</v>
      </c>
      <c r="W35" s="186">
        <v>-12159</v>
      </c>
      <c r="X35" s="186">
        <v>0</v>
      </c>
      <c r="Y35" s="186">
        <v>100924</v>
      </c>
      <c r="Z35" s="186">
        <v>0</v>
      </c>
      <c r="AA35" s="186">
        <v>0</v>
      </c>
      <c r="AB35" s="186">
        <v>-12159</v>
      </c>
      <c r="AC35" s="186">
        <v>-12159</v>
      </c>
      <c r="AD35" s="186">
        <v>-12159</v>
      </c>
      <c r="AE35" s="186">
        <v>-12159</v>
      </c>
      <c r="AF35" s="186">
        <v>-12159</v>
      </c>
      <c r="AG35" s="186">
        <v>-40129</v>
      </c>
      <c r="AH35" s="187">
        <v>9.3000000000000007</v>
      </c>
      <c r="AK35" s="196"/>
    </row>
    <row r="36" spans="2:37">
      <c r="B36" s="185" t="s">
        <v>449</v>
      </c>
      <c r="C36" s="186">
        <v>0</v>
      </c>
      <c r="D36" s="186">
        <v>29</v>
      </c>
      <c r="E36" s="186">
        <v>429</v>
      </c>
      <c r="F36" s="186">
        <v>926320</v>
      </c>
      <c r="G36" s="186">
        <v>971041</v>
      </c>
      <c r="H36" s="186">
        <v>66541</v>
      </c>
      <c r="I36" s="186">
        <v>4938.021155999998</v>
      </c>
      <c r="J36" s="186">
        <v>-111262</v>
      </c>
      <c r="K36" s="186">
        <v>1124507</v>
      </c>
      <c r="L36" s="186">
        <v>767797</v>
      </c>
      <c r="M36" s="186">
        <v>926320</v>
      </c>
      <c r="N36" s="186">
        <v>926320</v>
      </c>
      <c r="O36" s="186">
        <v>47399</v>
      </c>
      <c r="P36" s="186">
        <v>29738</v>
      </c>
      <c r="Q36" s="186">
        <v>0</v>
      </c>
      <c r="R36" s="186">
        <v>0</v>
      </c>
      <c r="S36" s="186">
        <v>-121858</v>
      </c>
      <c r="T36" s="186">
        <v>0</v>
      </c>
      <c r="U36" s="186">
        <v>0</v>
      </c>
      <c r="V36" s="186">
        <v>0</v>
      </c>
      <c r="W36" s="186">
        <v>-10596</v>
      </c>
      <c r="X36" s="186">
        <v>0</v>
      </c>
      <c r="Y36" s="186">
        <v>111262</v>
      </c>
      <c r="Z36" s="186">
        <v>0</v>
      </c>
      <c r="AA36" s="186">
        <v>0</v>
      </c>
      <c r="AB36" s="186">
        <v>-10596</v>
      </c>
      <c r="AC36" s="186">
        <v>-10596</v>
      </c>
      <c r="AD36" s="186">
        <v>-10596</v>
      </c>
      <c r="AE36" s="186">
        <v>-10596</v>
      </c>
      <c r="AF36" s="186">
        <v>-10596</v>
      </c>
      <c r="AG36" s="186">
        <v>-58282</v>
      </c>
      <c r="AH36" s="187">
        <v>11.5</v>
      </c>
      <c r="AK36" s="196"/>
    </row>
    <row r="37" spans="2:37">
      <c r="B37" s="185" t="s">
        <v>268</v>
      </c>
      <c r="C37" s="186">
        <v>0</v>
      </c>
      <c r="D37" s="186">
        <v>0</v>
      </c>
      <c r="E37" s="186">
        <v>0</v>
      </c>
      <c r="F37" s="186">
        <v>0</v>
      </c>
      <c r="G37" s="186">
        <v>0</v>
      </c>
      <c r="H37" s="186">
        <v>0</v>
      </c>
      <c r="I37" s="186">
        <v>0</v>
      </c>
      <c r="J37" s="186">
        <v>0</v>
      </c>
      <c r="K37" s="186">
        <v>0</v>
      </c>
      <c r="L37" s="186">
        <v>0</v>
      </c>
      <c r="M37" s="186">
        <v>0</v>
      </c>
      <c r="N37" s="186">
        <v>0</v>
      </c>
      <c r="O37" s="186">
        <v>0</v>
      </c>
      <c r="P37" s="186">
        <v>0</v>
      </c>
      <c r="Q37" s="186">
        <v>0</v>
      </c>
      <c r="R37" s="186">
        <v>0</v>
      </c>
      <c r="S37" s="186">
        <v>0</v>
      </c>
      <c r="T37" s="186">
        <v>0</v>
      </c>
      <c r="U37" s="186">
        <v>0</v>
      </c>
      <c r="V37" s="186">
        <v>0</v>
      </c>
      <c r="W37" s="186">
        <v>0</v>
      </c>
      <c r="X37" s="186">
        <v>0</v>
      </c>
      <c r="Y37" s="186">
        <v>0</v>
      </c>
      <c r="Z37" s="186">
        <v>0</v>
      </c>
      <c r="AA37" s="186">
        <v>0</v>
      </c>
      <c r="AB37" s="186">
        <v>0</v>
      </c>
      <c r="AC37" s="186">
        <v>0</v>
      </c>
      <c r="AD37" s="186">
        <v>0</v>
      </c>
      <c r="AE37" s="186">
        <v>0</v>
      </c>
      <c r="AF37" s="186">
        <v>0</v>
      </c>
      <c r="AG37" s="186">
        <v>0</v>
      </c>
      <c r="AH37" s="187">
        <v>1</v>
      </c>
      <c r="AK37" s="196"/>
    </row>
    <row r="38" spans="2:37">
      <c r="B38" s="185" t="s">
        <v>269</v>
      </c>
      <c r="C38" s="186">
        <v>32</v>
      </c>
      <c r="D38" s="186">
        <v>10</v>
      </c>
      <c r="E38" s="186">
        <v>121</v>
      </c>
      <c r="F38" s="186">
        <v>388466</v>
      </c>
      <c r="G38" s="186">
        <v>421876</v>
      </c>
      <c r="H38" s="186">
        <v>17229</v>
      </c>
      <c r="I38" s="186">
        <v>1504.776327</v>
      </c>
      <c r="J38" s="186">
        <v>-33689</v>
      </c>
      <c r="K38" s="186">
        <v>449333</v>
      </c>
      <c r="L38" s="186">
        <v>339074</v>
      </c>
      <c r="M38" s="186">
        <v>388466</v>
      </c>
      <c r="N38" s="186">
        <v>388466</v>
      </c>
      <c r="O38" s="186">
        <v>8731</v>
      </c>
      <c r="P38" s="186">
        <v>12326</v>
      </c>
      <c r="Q38" s="186">
        <v>0</v>
      </c>
      <c r="R38" s="186">
        <v>0</v>
      </c>
      <c r="S38" s="186">
        <v>-37517</v>
      </c>
      <c r="T38" s="186">
        <v>16950</v>
      </c>
      <c r="U38" s="186">
        <v>0</v>
      </c>
      <c r="V38" s="186">
        <v>0</v>
      </c>
      <c r="W38" s="186">
        <v>-3828</v>
      </c>
      <c r="X38" s="186">
        <v>0</v>
      </c>
      <c r="Y38" s="186">
        <v>33689</v>
      </c>
      <c r="Z38" s="186">
        <v>0</v>
      </c>
      <c r="AA38" s="186">
        <v>0</v>
      </c>
      <c r="AB38" s="186">
        <v>-3828</v>
      </c>
      <c r="AC38" s="186">
        <v>-3828</v>
      </c>
      <c r="AD38" s="186">
        <v>-3828</v>
      </c>
      <c r="AE38" s="186">
        <v>-3828</v>
      </c>
      <c r="AF38" s="186">
        <v>-3828</v>
      </c>
      <c r="AG38" s="186">
        <v>-14549</v>
      </c>
      <c r="AH38" s="187">
        <v>9.8000000000000007</v>
      </c>
      <c r="AK38" s="196"/>
    </row>
    <row r="39" spans="2:37">
      <c r="B39" s="185" t="s">
        <v>270</v>
      </c>
      <c r="C39" s="186">
        <v>114</v>
      </c>
      <c r="D39" s="186">
        <v>75</v>
      </c>
      <c r="E39" s="186">
        <v>506</v>
      </c>
      <c r="F39" s="186">
        <v>1739829</v>
      </c>
      <c r="G39" s="186">
        <v>1869538</v>
      </c>
      <c r="H39" s="186">
        <v>77315</v>
      </c>
      <c r="I39" s="186">
        <v>6001.5229210000034</v>
      </c>
      <c r="J39" s="186">
        <v>-147774</v>
      </c>
      <c r="K39" s="186">
        <v>2006829</v>
      </c>
      <c r="L39" s="186">
        <v>1521269</v>
      </c>
      <c r="M39" s="186">
        <v>1739829</v>
      </c>
      <c r="N39" s="186">
        <v>1739829</v>
      </c>
      <c r="O39" s="186">
        <v>39423</v>
      </c>
      <c r="P39" s="186">
        <v>54877</v>
      </c>
      <c r="Q39" s="186">
        <v>0</v>
      </c>
      <c r="R39" s="186">
        <v>0</v>
      </c>
      <c r="S39" s="186">
        <v>-164759</v>
      </c>
      <c r="T39" s="186">
        <v>59250</v>
      </c>
      <c r="U39" s="186">
        <v>0</v>
      </c>
      <c r="V39" s="186">
        <v>0</v>
      </c>
      <c r="W39" s="186">
        <v>-16985</v>
      </c>
      <c r="X39" s="186">
        <v>0</v>
      </c>
      <c r="Y39" s="186">
        <v>147774</v>
      </c>
      <c r="Z39" s="186">
        <v>0</v>
      </c>
      <c r="AA39" s="186">
        <v>0</v>
      </c>
      <c r="AB39" s="186">
        <v>-16985</v>
      </c>
      <c r="AC39" s="186">
        <v>-16985</v>
      </c>
      <c r="AD39" s="186">
        <v>-16985</v>
      </c>
      <c r="AE39" s="186">
        <v>-16985</v>
      </c>
      <c r="AF39" s="186">
        <v>-16985</v>
      </c>
      <c r="AG39" s="186">
        <v>-62849</v>
      </c>
      <c r="AH39" s="187">
        <v>9.6999999999999993</v>
      </c>
      <c r="AK39" s="196"/>
    </row>
    <row r="40" spans="2:37">
      <c r="B40" s="185" t="s">
        <v>450</v>
      </c>
      <c r="C40" s="186">
        <v>0</v>
      </c>
      <c r="D40" s="186">
        <v>692</v>
      </c>
      <c r="E40" s="186">
        <v>4300</v>
      </c>
      <c r="F40" s="186">
        <v>11059673</v>
      </c>
      <c r="G40" s="186">
        <v>11592241</v>
      </c>
      <c r="H40" s="186">
        <v>670902</v>
      </c>
      <c r="I40" s="186">
        <v>51235.836100000008</v>
      </c>
      <c r="J40" s="186">
        <v>-1203470</v>
      </c>
      <c r="K40" s="186">
        <v>13197818</v>
      </c>
      <c r="L40" s="186">
        <v>9338092</v>
      </c>
      <c r="M40" s="186">
        <v>11059673</v>
      </c>
      <c r="N40" s="186">
        <v>11059673</v>
      </c>
      <c r="O40" s="186">
        <v>430255</v>
      </c>
      <c r="P40" s="186">
        <v>351057</v>
      </c>
      <c r="Q40" s="186">
        <v>0</v>
      </c>
      <c r="R40" s="186">
        <v>0</v>
      </c>
      <c r="S40" s="186">
        <v>-1313880</v>
      </c>
      <c r="T40" s="186">
        <v>0</v>
      </c>
      <c r="U40" s="186">
        <v>0</v>
      </c>
      <c r="V40" s="186">
        <v>0</v>
      </c>
      <c r="W40" s="186">
        <v>-110410</v>
      </c>
      <c r="X40" s="186">
        <v>0</v>
      </c>
      <c r="Y40" s="186">
        <v>1203470</v>
      </c>
      <c r="Z40" s="186">
        <v>0</v>
      </c>
      <c r="AA40" s="186">
        <v>0</v>
      </c>
      <c r="AB40" s="186">
        <v>-110410</v>
      </c>
      <c r="AC40" s="186">
        <v>-110410</v>
      </c>
      <c r="AD40" s="186">
        <v>-110410</v>
      </c>
      <c r="AE40" s="186">
        <v>-110410</v>
      </c>
      <c r="AF40" s="186">
        <v>-110410</v>
      </c>
      <c r="AG40" s="186">
        <v>-651420</v>
      </c>
      <c r="AH40" s="187">
        <v>11.9</v>
      </c>
      <c r="AK40" s="196"/>
    </row>
    <row r="41" spans="2:37">
      <c r="B41" s="185" t="s">
        <v>271</v>
      </c>
      <c r="C41" s="186">
        <v>37</v>
      </c>
      <c r="D41" s="186">
        <v>13</v>
      </c>
      <c r="E41" s="186">
        <v>124</v>
      </c>
      <c r="F41" s="186">
        <v>489761</v>
      </c>
      <c r="G41" s="186">
        <v>528907</v>
      </c>
      <c r="H41" s="186">
        <v>20640</v>
      </c>
      <c r="I41" s="186">
        <v>1431.6383460000006</v>
      </c>
      <c r="J41" s="186">
        <v>-40586</v>
      </c>
      <c r="K41" s="186">
        <v>563766</v>
      </c>
      <c r="L41" s="186">
        <v>429195</v>
      </c>
      <c r="M41" s="186">
        <v>489761</v>
      </c>
      <c r="N41" s="186">
        <v>489761</v>
      </c>
      <c r="O41" s="186">
        <v>10313</v>
      </c>
      <c r="P41" s="186">
        <v>15465</v>
      </c>
      <c r="Q41" s="186">
        <v>0</v>
      </c>
      <c r="R41" s="186">
        <v>0</v>
      </c>
      <c r="S41" s="186">
        <v>-45724</v>
      </c>
      <c r="T41" s="186">
        <v>19200</v>
      </c>
      <c r="U41" s="186">
        <v>0</v>
      </c>
      <c r="V41" s="186">
        <v>0</v>
      </c>
      <c r="W41" s="186">
        <v>-5138</v>
      </c>
      <c r="X41" s="186">
        <v>0</v>
      </c>
      <c r="Y41" s="186">
        <v>40586</v>
      </c>
      <c r="Z41" s="186">
        <v>0</v>
      </c>
      <c r="AA41" s="186">
        <v>0</v>
      </c>
      <c r="AB41" s="186">
        <v>-5138</v>
      </c>
      <c r="AC41" s="186">
        <v>-5138</v>
      </c>
      <c r="AD41" s="186">
        <v>-5138</v>
      </c>
      <c r="AE41" s="186">
        <v>-5138</v>
      </c>
      <c r="AF41" s="186">
        <v>-5138</v>
      </c>
      <c r="AG41" s="186">
        <v>-14896</v>
      </c>
      <c r="AH41" s="187">
        <v>8.9</v>
      </c>
      <c r="AK41" s="196"/>
    </row>
    <row r="42" spans="2:37">
      <c r="B42" s="185" t="s">
        <v>272</v>
      </c>
      <c r="C42" s="186">
        <v>56</v>
      </c>
      <c r="D42" s="186">
        <v>23</v>
      </c>
      <c r="E42" s="186">
        <v>229</v>
      </c>
      <c r="F42" s="186">
        <v>752820</v>
      </c>
      <c r="G42" s="186">
        <v>814946</v>
      </c>
      <c r="H42" s="186">
        <v>33455</v>
      </c>
      <c r="I42" s="186">
        <v>2745.1655769999998</v>
      </c>
      <c r="J42" s="186">
        <v>-63931</v>
      </c>
      <c r="K42" s="186">
        <v>868550</v>
      </c>
      <c r="L42" s="186">
        <v>658299</v>
      </c>
      <c r="M42" s="186">
        <v>752820</v>
      </c>
      <c r="N42" s="186">
        <v>752820</v>
      </c>
      <c r="O42" s="186">
        <v>17057</v>
      </c>
      <c r="P42" s="186">
        <v>23832</v>
      </c>
      <c r="Q42" s="186">
        <v>0</v>
      </c>
      <c r="R42" s="186">
        <v>0</v>
      </c>
      <c r="S42" s="186">
        <v>-71365</v>
      </c>
      <c r="T42" s="186">
        <v>31650</v>
      </c>
      <c r="U42" s="186">
        <v>0</v>
      </c>
      <c r="V42" s="186">
        <v>0</v>
      </c>
      <c r="W42" s="186">
        <v>-7434</v>
      </c>
      <c r="X42" s="186">
        <v>0</v>
      </c>
      <c r="Y42" s="186">
        <v>63931</v>
      </c>
      <c r="Z42" s="186">
        <v>0</v>
      </c>
      <c r="AA42" s="186">
        <v>0</v>
      </c>
      <c r="AB42" s="186">
        <v>-7434</v>
      </c>
      <c r="AC42" s="186">
        <v>-7434</v>
      </c>
      <c r="AD42" s="186">
        <v>-7434</v>
      </c>
      <c r="AE42" s="186">
        <v>-7434</v>
      </c>
      <c r="AF42" s="186">
        <v>-7434</v>
      </c>
      <c r="AG42" s="186">
        <v>-26761</v>
      </c>
      <c r="AH42" s="187">
        <v>9.6</v>
      </c>
      <c r="AK42" s="196"/>
    </row>
    <row r="43" spans="2:37">
      <c r="B43" s="185" t="s">
        <v>273</v>
      </c>
      <c r="C43" s="186">
        <v>141</v>
      </c>
      <c r="D43" s="186">
        <v>53</v>
      </c>
      <c r="E43" s="186">
        <v>604</v>
      </c>
      <c r="F43" s="186">
        <v>2053335</v>
      </c>
      <c r="G43" s="186">
        <v>2206526</v>
      </c>
      <c r="H43" s="186">
        <v>93584</v>
      </c>
      <c r="I43" s="186">
        <v>6660.036466999999</v>
      </c>
      <c r="J43" s="186">
        <v>-172525</v>
      </c>
      <c r="K43" s="186">
        <v>2368521</v>
      </c>
      <c r="L43" s="186">
        <v>1794865</v>
      </c>
      <c r="M43" s="186">
        <v>2053335</v>
      </c>
      <c r="N43" s="186">
        <v>2053335</v>
      </c>
      <c r="O43" s="186">
        <v>50599</v>
      </c>
      <c r="P43" s="186">
        <v>64824</v>
      </c>
      <c r="Q43" s="186">
        <v>0</v>
      </c>
      <c r="R43" s="186">
        <v>0</v>
      </c>
      <c r="S43" s="186">
        <v>-194364</v>
      </c>
      <c r="T43" s="186">
        <v>74250</v>
      </c>
      <c r="U43" s="186">
        <v>0</v>
      </c>
      <c r="V43" s="186">
        <v>0</v>
      </c>
      <c r="W43" s="186">
        <v>-21839</v>
      </c>
      <c r="X43" s="186">
        <v>0</v>
      </c>
      <c r="Y43" s="186">
        <v>172525</v>
      </c>
      <c r="Z43" s="186">
        <v>0</v>
      </c>
      <c r="AA43" s="186">
        <v>0</v>
      </c>
      <c r="AB43" s="186">
        <v>-21839</v>
      </c>
      <c r="AC43" s="186">
        <v>-21839</v>
      </c>
      <c r="AD43" s="186">
        <v>-21839</v>
      </c>
      <c r="AE43" s="186">
        <v>-21839</v>
      </c>
      <c r="AF43" s="186">
        <v>-21839</v>
      </c>
      <c r="AG43" s="186">
        <v>-63330</v>
      </c>
      <c r="AH43" s="187">
        <v>8.9</v>
      </c>
      <c r="AK43" s="196"/>
    </row>
    <row r="44" spans="2:37">
      <c r="B44" s="185" t="s">
        <v>274</v>
      </c>
      <c r="C44" s="186">
        <v>31</v>
      </c>
      <c r="D44" s="186">
        <v>0</v>
      </c>
      <c r="E44" s="186">
        <v>37</v>
      </c>
      <c r="F44" s="186">
        <v>3064</v>
      </c>
      <c r="G44" s="186">
        <v>2517</v>
      </c>
      <c r="H44" s="186">
        <v>1169</v>
      </c>
      <c r="I44" s="186">
        <v>591.54074099999991</v>
      </c>
      <c r="J44" s="186">
        <v>-622</v>
      </c>
      <c r="K44" s="186">
        <v>4227</v>
      </c>
      <c r="L44" s="186">
        <v>2261</v>
      </c>
      <c r="M44" s="186">
        <v>3064</v>
      </c>
      <c r="N44" s="186">
        <v>3064</v>
      </c>
      <c r="O44" s="186">
        <v>1143</v>
      </c>
      <c r="P44" s="186">
        <v>107</v>
      </c>
      <c r="Q44" s="186">
        <v>0</v>
      </c>
      <c r="R44" s="186">
        <v>0</v>
      </c>
      <c r="S44" s="186">
        <v>-703</v>
      </c>
      <c r="T44" s="186">
        <v>0</v>
      </c>
      <c r="U44" s="186">
        <v>0</v>
      </c>
      <c r="V44" s="186">
        <v>0</v>
      </c>
      <c r="W44" s="186">
        <v>-81</v>
      </c>
      <c r="X44" s="186">
        <v>0</v>
      </c>
      <c r="Y44" s="186">
        <v>622</v>
      </c>
      <c r="Z44" s="186">
        <v>0</v>
      </c>
      <c r="AA44" s="186">
        <v>0</v>
      </c>
      <c r="AB44" s="186">
        <v>-81</v>
      </c>
      <c r="AC44" s="186">
        <v>-81</v>
      </c>
      <c r="AD44" s="186">
        <v>-81</v>
      </c>
      <c r="AE44" s="186">
        <v>-81</v>
      </c>
      <c r="AF44" s="186">
        <v>-81</v>
      </c>
      <c r="AG44" s="186">
        <v>-217</v>
      </c>
      <c r="AH44" s="187">
        <v>8.6999999999999993</v>
      </c>
      <c r="AK44" s="196"/>
    </row>
    <row r="45" spans="2:37">
      <c r="B45" s="185" t="s">
        <v>275</v>
      </c>
      <c r="C45" s="186">
        <v>67</v>
      </c>
      <c r="D45" s="186">
        <v>21</v>
      </c>
      <c r="E45" s="186">
        <v>249</v>
      </c>
      <c r="F45" s="186">
        <v>886922</v>
      </c>
      <c r="G45" s="186">
        <v>959242</v>
      </c>
      <c r="H45" s="186">
        <v>38490</v>
      </c>
      <c r="I45" s="186">
        <v>3082.5627640000021</v>
      </c>
      <c r="J45" s="186">
        <v>-74360</v>
      </c>
      <c r="K45" s="186">
        <v>1021376</v>
      </c>
      <c r="L45" s="186">
        <v>776799</v>
      </c>
      <c r="M45" s="186">
        <v>886922</v>
      </c>
      <c r="N45" s="186">
        <v>886922</v>
      </c>
      <c r="O45" s="186">
        <v>18910</v>
      </c>
      <c r="P45" s="186">
        <v>28030</v>
      </c>
      <c r="Q45" s="186">
        <v>0</v>
      </c>
      <c r="R45" s="186">
        <v>0</v>
      </c>
      <c r="S45" s="186">
        <v>-82810</v>
      </c>
      <c r="T45" s="186">
        <v>36450</v>
      </c>
      <c r="U45" s="186">
        <v>0</v>
      </c>
      <c r="V45" s="186">
        <v>0</v>
      </c>
      <c r="W45" s="186">
        <v>-8450</v>
      </c>
      <c r="X45" s="186">
        <v>0</v>
      </c>
      <c r="Y45" s="186">
        <v>74360</v>
      </c>
      <c r="Z45" s="186">
        <v>0</v>
      </c>
      <c r="AA45" s="186">
        <v>0</v>
      </c>
      <c r="AB45" s="186">
        <v>-8450</v>
      </c>
      <c r="AC45" s="186">
        <v>-8450</v>
      </c>
      <c r="AD45" s="186">
        <v>-8450</v>
      </c>
      <c r="AE45" s="186">
        <v>-8450</v>
      </c>
      <c r="AF45" s="186">
        <v>-8450</v>
      </c>
      <c r="AG45" s="186">
        <v>-32110</v>
      </c>
      <c r="AH45" s="187">
        <v>9.8000000000000007</v>
      </c>
      <c r="AK45" s="196"/>
    </row>
    <row r="46" spans="2:37">
      <c r="B46" s="185" t="s">
        <v>276</v>
      </c>
      <c r="C46" s="186">
        <v>105</v>
      </c>
      <c r="D46" s="186">
        <v>34</v>
      </c>
      <c r="E46" s="186">
        <v>174</v>
      </c>
      <c r="F46" s="186">
        <v>1169049</v>
      </c>
      <c r="G46" s="186">
        <v>1271032</v>
      </c>
      <c r="H46" s="186">
        <v>37876</v>
      </c>
      <c r="I46" s="186">
        <v>1907.6969509999997</v>
      </c>
      <c r="J46" s="186">
        <v>-83009</v>
      </c>
      <c r="K46" s="186">
        <v>1326260</v>
      </c>
      <c r="L46" s="186">
        <v>1038795</v>
      </c>
      <c r="M46" s="186">
        <v>1169049</v>
      </c>
      <c r="N46" s="186">
        <v>1169049</v>
      </c>
      <c r="O46" s="186">
        <v>15453</v>
      </c>
      <c r="P46" s="186">
        <v>36735</v>
      </c>
      <c r="Q46" s="186">
        <v>0</v>
      </c>
      <c r="R46" s="186">
        <v>0</v>
      </c>
      <c r="S46" s="186">
        <v>-97321</v>
      </c>
      <c r="T46" s="186">
        <v>56850</v>
      </c>
      <c r="U46" s="186">
        <v>0</v>
      </c>
      <c r="V46" s="186">
        <v>0</v>
      </c>
      <c r="W46" s="186">
        <v>-14312</v>
      </c>
      <c r="X46" s="186">
        <v>0</v>
      </c>
      <c r="Y46" s="186">
        <v>83009</v>
      </c>
      <c r="Z46" s="186">
        <v>0</v>
      </c>
      <c r="AA46" s="186">
        <v>0</v>
      </c>
      <c r="AB46" s="186">
        <v>-14312</v>
      </c>
      <c r="AC46" s="186">
        <v>-14312</v>
      </c>
      <c r="AD46" s="186">
        <v>-14312</v>
      </c>
      <c r="AE46" s="186">
        <v>-14312</v>
      </c>
      <c r="AF46" s="186">
        <v>-14312</v>
      </c>
      <c r="AG46" s="186">
        <v>-11449</v>
      </c>
      <c r="AH46" s="187">
        <v>6.8</v>
      </c>
      <c r="AK46" s="196"/>
    </row>
    <row r="47" spans="2:37">
      <c r="B47" s="185" t="s">
        <v>277</v>
      </c>
      <c r="C47" s="186">
        <v>48</v>
      </c>
      <c r="D47" s="186">
        <v>29</v>
      </c>
      <c r="E47" s="186">
        <v>206</v>
      </c>
      <c r="F47" s="186">
        <v>638151</v>
      </c>
      <c r="G47" s="186">
        <v>686932</v>
      </c>
      <c r="H47" s="186">
        <v>30090</v>
      </c>
      <c r="I47" s="186">
        <v>2527.8412759999987</v>
      </c>
      <c r="J47" s="186">
        <v>-53371</v>
      </c>
      <c r="K47" s="186">
        <v>734418</v>
      </c>
      <c r="L47" s="186">
        <v>558969</v>
      </c>
      <c r="M47" s="186">
        <v>638151</v>
      </c>
      <c r="N47" s="186">
        <v>638151</v>
      </c>
      <c r="O47" s="186">
        <v>15870</v>
      </c>
      <c r="P47" s="186">
        <v>20150</v>
      </c>
      <c r="Q47" s="186">
        <v>0</v>
      </c>
      <c r="R47" s="186">
        <v>0</v>
      </c>
      <c r="S47" s="186">
        <v>-59301</v>
      </c>
      <c r="T47" s="186">
        <v>25500</v>
      </c>
      <c r="U47" s="186">
        <v>0</v>
      </c>
      <c r="V47" s="186">
        <v>0</v>
      </c>
      <c r="W47" s="186">
        <v>-5930</v>
      </c>
      <c r="X47" s="186">
        <v>0</v>
      </c>
      <c r="Y47" s="186">
        <v>53371</v>
      </c>
      <c r="Z47" s="186">
        <v>0</v>
      </c>
      <c r="AA47" s="186">
        <v>0</v>
      </c>
      <c r="AB47" s="186">
        <v>-5930</v>
      </c>
      <c r="AC47" s="186">
        <v>-5930</v>
      </c>
      <c r="AD47" s="186">
        <v>-5930</v>
      </c>
      <c r="AE47" s="186">
        <v>-5930</v>
      </c>
      <c r="AF47" s="186">
        <v>-5930</v>
      </c>
      <c r="AG47" s="186">
        <v>-23721</v>
      </c>
      <c r="AH47" s="187">
        <v>10</v>
      </c>
      <c r="AK47" s="196"/>
    </row>
    <row r="48" spans="2:37">
      <c r="B48" s="185" t="s">
        <v>278</v>
      </c>
      <c r="C48" s="186">
        <v>6</v>
      </c>
      <c r="D48" s="186">
        <v>1</v>
      </c>
      <c r="E48" s="186">
        <v>27</v>
      </c>
      <c r="F48" s="186">
        <v>69734</v>
      </c>
      <c r="G48" s="186">
        <v>74547</v>
      </c>
      <c r="H48" s="186">
        <v>3592</v>
      </c>
      <c r="I48" s="186">
        <v>332.11902200000009</v>
      </c>
      <c r="J48" s="186">
        <v>-5555</v>
      </c>
      <c r="K48" s="186">
        <v>79797</v>
      </c>
      <c r="L48" s="186">
        <v>61424</v>
      </c>
      <c r="M48" s="186">
        <v>69734</v>
      </c>
      <c r="N48" s="186">
        <v>69734</v>
      </c>
      <c r="O48" s="186">
        <v>2008</v>
      </c>
      <c r="P48" s="186">
        <v>2194</v>
      </c>
      <c r="Q48" s="186">
        <v>0</v>
      </c>
      <c r="R48" s="186">
        <v>0</v>
      </c>
      <c r="S48" s="186">
        <v>-6165</v>
      </c>
      <c r="T48" s="186">
        <v>2850</v>
      </c>
      <c r="U48" s="186">
        <v>0</v>
      </c>
      <c r="V48" s="186">
        <v>0</v>
      </c>
      <c r="W48" s="186">
        <v>-610</v>
      </c>
      <c r="X48" s="186">
        <v>0</v>
      </c>
      <c r="Y48" s="186">
        <v>5555</v>
      </c>
      <c r="Z48" s="186">
        <v>0</v>
      </c>
      <c r="AA48" s="186">
        <v>0</v>
      </c>
      <c r="AB48" s="186">
        <v>-610</v>
      </c>
      <c r="AC48" s="186">
        <v>-610</v>
      </c>
      <c r="AD48" s="186">
        <v>-610</v>
      </c>
      <c r="AE48" s="186">
        <v>-610</v>
      </c>
      <c r="AF48" s="186">
        <v>-610</v>
      </c>
      <c r="AG48" s="186">
        <v>-2505</v>
      </c>
      <c r="AH48" s="187">
        <v>10.1</v>
      </c>
      <c r="AK48" s="196"/>
    </row>
    <row r="49" spans="2:37">
      <c r="B49" s="185" t="s">
        <v>279</v>
      </c>
      <c r="C49" s="186">
        <v>53</v>
      </c>
      <c r="D49" s="186">
        <v>11</v>
      </c>
      <c r="E49" s="186">
        <v>251</v>
      </c>
      <c r="F49" s="186">
        <v>633371</v>
      </c>
      <c r="G49" s="186">
        <v>679182</v>
      </c>
      <c r="H49" s="186">
        <v>32411</v>
      </c>
      <c r="I49" s="186">
        <v>2750.0566590000008</v>
      </c>
      <c r="J49" s="186">
        <v>-50022</v>
      </c>
      <c r="K49" s="186">
        <v>724572</v>
      </c>
      <c r="L49" s="186">
        <v>558125</v>
      </c>
      <c r="M49" s="186">
        <v>633371</v>
      </c>
      <c r="N49" s="186">
        <v>633371</v>
      </c>
      <c r="O49" s="186">
        <v>18698</v>
      </c>
      <c r="P49" s="186">
        <v>19966</v>
      </c>
      <c r="Q49" s="186">
        <v>0</v>
      </c>
      <c r="R49" s="186">
        <v>0</v>
      </c>
      <c r="S49" s="186">
        <v>-56275</v>
      </c>
      <c r="T49" s="186">
        <v>28200</v>
      </c>
      <c r="U49" s="186">
        <v>0</v>
      </c>
      <c r="V49" s="186">
        <v>0</v>
      </c>
      <c r="W49" s="186">
        <v>-6253</v>
      </c>
      <c r="X49" s="186">
        <v>0</v>
      </c>
      <c r="Y49" s="186">
        <v>50022</v>
      </c>
      <c r="Z49" s="186">
        <v>0</v>
      </c>
      <c r="AA49" s="186">
        <v>0</v>
      </c>
      <c r="AB49" s="186">
        <v>-6253</v>
      </c>
      <c r="AC49" s="186">
        <v>-6253</v>
      </c>
      <c r="AD49" s="186">
        <v>-6253</v>
      </c>
      <c r="AE49" s="186">
        <v>-6253</v>
      </c>
      <c r="AF49" s="186">
        <v>-6253</v>
      </c>
      <c r="AG49" s="186">
        <v>-18757</v>
      </c>
      <c r="AH49" s="187">
        <v>9</v>
      </c>
      <c r="AK49" s="196"/>
    </row>
    <row r="50" spans="2:37">
      <c r="B50" s="185" t="s">
        <v>280</v>
      </c>
      <c r="C50" s="186">
        <v>24</v>
      </c>
      <c r="D50" s="186">
        <v>10</v>
      </c>
      <c r="E50" s="186">
        <v>106</v>
      </c>
      <c r="F50" s="186">
        <v>341494</v>
      </c>
      <c r="G50" s="186">
        <v>367132</v>
      </c>
      <c r="H50" s="186">
        <v>15916</v>
      </c>
      <c r="I50" s="186">
        <v>1282.4959409999997</v>
      </c>
      <c r="J50" s="186">
        <v>-28804</v>
      </c>
      <c r="K50" s="186">
        <v>393235</v>
      </c>
      <c r="L50" s="186">
        <v>299036</v>
      </c>
      <c r="M50" s="186">
        <v>341494</v>
      </c>
      <c r="N50" s="186">
        <v>341494</v>
      </c>
      <c r="O50" s="186">
        <v>8373</v>
      </c>
      <c r="P50" s="186">
        <v>10779</v>
      </c>
      <c r="Q50" s="186">
        <v>0</v>
      </c>
      <c r="R50" s="186">
        <v>0</v>
      </c>
      <c r="S50" s="186">
        <v>-32040</v>
      </c>
      <c r="T50" s="186">
        <v>12750</v>
      </c>
      <c r="U50" s="186">
        <v>0</v>
      </c>
      <c r="V50" s="186">
        <v>0</v>
      </c>
      <c r="W50" s="186">
        <v>-3236</v>
      </c>
      <c r="X50" s="186">
        <v>0</v>
      </c>
      <c r="Y50" s="186">
        <v>28804</v>
      </c>
      <c r="Z50" s="186">
        <v>0</v>
      </c>
      <c r="AA50" s="186">
        <v>0</v>
      </c>
      <c r="AB50" s="186">
        <v>-3236</v>
      </c>
      <c r="AC50" s="186">
        <v>-3236</v>
      </c>
      <c r="AD50" s="186">
        <v>-3236</v>
      </c>
      <c r="AE50" s="186">
        <v>-3236</v>
      </c>
      <c r="AF50" s="186">
        <v>-3236</v>
      </c>
      <c r="AG50" s="186">
        <v>-12624</v>
      </c>
      <c r="AH50" s="187">
        <v>9.9</v>
      </c>
      <c r="AK50" s="196"/>
    </row>
    <row r="51" spans="2:37">
      <c r="B51" s="185" t="s">
        <v>281</v>
      </c>
      <c r="C51" s="186">
        <v>70</v>
      </c>
      <c r="D51" s="186">
        <v>25</v>
      </c>
      <c r="E51" s="186">
        <v>141</v>
      </c>
      <c r="F51" s="186">
        <v>844013</v>
      </c>
      <c r="G51" s="186">
        <v>914863</v>
      </c>
      <c r="H51" s="186">
        <v>29450</v>
      </c>
      <c r="I51" s="186">
        <v>1611.4860249999997</v>
      </c>
      <c r="J51" s="186">
        <v>-60400</v>
      </c>
      <c r="K51" s="186">
        <v>956437</v>
      </c>
      <c r="L51" s="186">
        <v>750733</v>
      </c>
      <c r="M51" s="186">
        <v>844013</v>
      </c>
      <c r="N51" s="186">
        <v>844013</v>
      </c>
      <c r="O51" s="186">
        <v>12116</v>
      </c>
      <c r="P51" s="186">
        <v>26485</v>
      </c>
      <c r="Q51" s="186">
        <v>0</v>
      </c>
      <c r="R51" s="186">
        <v>0</v>
      </c>
      <c r="S51" s="186">
        <v>-69551</v>
      </c>
      <c r="T51" s="186">
        <v>39900</v>
      </c>
      <c r="U51" s="186">
        <v>0</v>
      </c>
      <c r="V51" s="186">
        <v>0</v>
      </c>
      <c r="W51" s="186">
        <v>-9151</v>
      </c>
      <c r="X51" s="186">
        <v>0</v>
      </c>
      <c r="Y51" s="186">
        <v>60400</v>
      </c>
      <c r="Z51" s="186">
        <v>0</v>
      </c>
      <c r="AA51" s="186">
        <v>0</v>
      </c>
      <c r="AB51" s="186">
        <v>-9151</v>
      </c>
      <c r="AC51" s="186">
        <v>-9151</v>
      </c>
      <c r="AD51" s="186">
        <v>-9151</v>
      </c>
      <c r="AE51" s="186">
        <v>-9151</v>
      </c>
      <c r="AF51" s="186">
        <v>-9151</v>
      </c>
      <c r="AG51" s="186">
        <v>-14645</v>
      </c>
      <c r="AH51" s="187">
        <v>7.6</v>
      </c>
      <c r="AK51" s="196"/>
    </row>
    <row r="52" spans="2:37">
      <c r="B52" s="185" t="s">
        <v>282</v>
      </c>
      <c r="C52" s="186">
        <v>124</v>
      </c>
      <c r="D52" s="186">
        <v>26</v>
      </c>
      <c r="E52" s="186">
        <v>385</v>
      </c>
      <c r="F52" s="186">
        <v>1508233</v>
      </c>
      <c r="G52" s="186">
        <v>1625033</v>
      </c>
      <c r="H52" s="186">
        <v>63779</v>
      </c>
      <c r="I52" s="186">
        <v>3980.0105649999973</v>
      </c>
      <c r="J52" s="186">
        <v>-116229</v>
      </c>
      <c r="K52" s="186">
        <v>1723997</v>
      </c>
      <c r="L52" s="186">
        <v>1329803</v>
      </c>
      <c r="M52" s="186">
        <v>1508233</v>
      </c>
      <c r="N52" s="186">
        <v>1508233</v>
      </c>
      <c r="O52" s="186">
        <v>33385</v>
      </c>
      <c r="P52" s="186">
        <v>47486</v>
      </c>
      <c r="Q52" s="186">
        <v>0</v>
      </c>
      <c r="R52" s="186">
        <v>0</v>
      </c>
      <c r="S52" s="186">
        <v>-133321</v>
      </c>
      <c r="T52" s="186">
        <v>64350</v>
      </c>
      <c r="U52" s="186">
        <v>0</v>
      </c>
      <c r="V52" s="186">
        <v>0</v>
      </c>
      <c r="W52" s="186">
        <v>-17092</v>
      </c>
      <c r="X52" s="186">
        <v>0</v>
      </c>
      <c r="Y52" s="186">
        <v>116229</v>
      </c>
      <c r="Z52" s="186">
        <v>0</v>
      </c>
      <c r="AA52" s="186">
        <v>0</v>
      </c>
      <c r="AB52" s="186">
        <v>-17092</v>
      </c>
      <c r="AC52" s="186">
        <v>-17092</v>
      </c>
      <c r="AD52" s="186">
        <v>-17092</v>
      </c>
      <c r="AE52" s="186">
        <v>-17092</v>
      </c>
      <c r="AF52" s="186">
        <v>-17092</v>
      </c>
      <c r="AG52" s="186">
        <v>-30769</v>
      </c>
      <c r="AH52" s="187">
        <v>7.8</v>
      </c>
      <c r="AK52" s="196"/>
    </row>
    <row r="53" spans="2:37">
      <c r="B53" s="185" t="s">
        <v>283</v>
      </c>
      <c r="C53" s="186">
        <v>78</v>
      </c>
      <c r="D53" s="186">
        <v>90</v>
      </c>
      <c r="E53" s="186">
        <v>328</v>
      </c>
      <c r="F53" s="186">
        <v>1139777</v>
      </c>
      <c r="G53" s="186">
        <v>1223470</v>
      </c>
      <c r="H53" s="186">
        <v>50214</v>
      </c>
      <c r="I53" s="186">
        <v>3840.5820689999987</v>
      </c>
      <c r="J53" s="186">
        <v>-94907</v>
      </c>
      <c r="K53" s="186">
        <v>1311928</v>
      </c>
      <c r="L53" s="186">
        <v>999004</v>
      </c>
      <c r="M53" s="186">
        <v>1139777</v>
      </c>
      <c r="N53" s="186">
        <v>1139777</v>
      </c>
      <c r="O53" s="186">
        <v>25479</v>
      </c>
      <c r="P53" s="186">
        <v>35900</v>
      </c>
      <c r="Q53" s="186">
        <v>0</v>
      </c>
      <c r="R53" s="186">
        <v>0</v>
      </c>
      <c r="S53" s="186">
        <v>-106072</v>
      </c>
      <c r="T53" s="186">
        <v>39000</v>
      </c>
      <c r="U53" s="186">
        <v>0</v>
      </c>
      <c r="V53" s="186">
        <v>0</v>
      </c>
      <c r="W53" s="186">
        <v>-11165</v>
      </c>
      <c r="X53" s="186">
        <v>0</v>
      </c>
      <c r="Y53" s="186">
        <v>94907</v>
      </c>
      <c r="Z53" s="186">
        <v>0</v>
      </c>
      <c r="AA53" s="186">
        <v>0</v>
      </c>
      <c r="AB53" s="186">
        <v>-11165</v>
      </c>
      <c r="AC53" s="186">
        <v>-11165</v>
      </c>
      <c r="AD53" s="186">
        <v>-11165</v>
      </c>
      <c r="AE53" s="186">
        <v>-11165</v>
      </c>
      <c r="AF53" s="186">
        <v>-11165</v>
      </c>
      <c r="AG53" s="186">
        <v>-39082</v>
      </c>
      <c r="AH53" s="187">
        <v>9.5</v>
      </c>
      <c r="AK53" s="196"/>
    </row>
    <row r="54" spans="2:37">
      <c r="B54" s="185" t="s">
        <v>284</v>
      </c>
      <c r="C54" s="186">
        <v>0</v>
      </c>
      <c r="D54" s="186">
        <v>0</v>
      </c>
      <c r="E54" s="186">
        <v>34</v>
      </c>
      <c r="F54" s="186">
        <v>9485</v>
      </c>
      <c r="G54" s="186">
        <v>9238</v>
      </c>
      <c r="H54" s="186">
        <v>1731</v>
      </c>
      <c r="I54" s="186">
        <v>518.33467500000006</v>
      </c>
      <c r="J54" s="186">
        <v>-1484</v>
      </c>
      <c r="K54" s="186">
        <v>12163</v>
      </c>
      <c r="L54" s="186">
        <v>7358</v>
      </c>
      <c r="M54" s="186">
        <v>9485</v>
      </c>
      <c r="N54" s="186">
        <v>9485</v>
      </c>
      <c r="O54" s="186">
        <v>1522</v>
      </c>
      <c r="P54" s="186">
        <v>314</v>
      </c>
      <c r="Q54" s="186">
        <v>0</v>
      </c>
      <c r="R54" s="186">
        <v>0</v>
      </c>
      <c r="S54" s="186">
        <v>-1589</v>
      </c>
      <c r="T54" s="186">
        <v>0</v>
      </c>
      <c r="U54" s="186">
        <v>0</v>
      </c>
      <c r="V54" s="186">
        <v>0</v>
      </c>
      <c r="W54" s="186">
        <v>-105</v>
      </c>
      <c r="X54" s="186">
        <v>0</v>
      </c>
      <c r="Y54" s="186">
        <v>1484</v>
      </c>
      <c r="Z54" s="186">
        <v>0</v>
      </c>
      <c r="AA54" s="186">
        <v>0</v>
      </c>
      <c r="AB54" s="186">
        <v>-105</v>
      </c>
      <c r="AC54" s="186">
        <v>-105</v>
      </c>
      <c r="AD54" s="186">
        <v>-105</v>
      </c>
      <c r="AE54" s="186">
        <v>-105</v>
      </c>
      <c r="AF54" s="186">
        <v>-105</v>
      </c>
      <c r="AG54" s="186">
        <v>-959</v>
      </c>
      <c r="AH54" s="187">
        <v>15.2</v>
      </c>
      <c r="AK54" s="196"/>
    </row>
    <row r="55" spans="2:37">
      <c r="B55" s="185" t="s">
        <v>451</v>
      </c>
      <c r="C55" s="186">
        <v>0</v>
      </c>
      <c r="D55" s="186">
        <v>0</v>
      </c>
      <c r="E55" s="186">
        <v>33</v>
      </c>
      <c r="F55" s="186">
        <v>3480</v>
      </c>
      <c r="G55" s="186">
        <v>3170</v>
      </c>
      <c r="H55" s="186">
        <v>1073</v>
      </c>
      <c r="I55" s="186">
        <v>508.86579799999993</v>
      </c>
      <c r="J55" s="186">
        <v>-763</v>
      </c>
      <c r="K55" s="186">
        <v>4842</v>
      </c>
      <c r="L55" s="186">
        <v>2513</v>
      </c>
      <c r="M55" s="186">
        <v>3480</v>
      </c>
      <c r="N55" s="186">
        <v>3480</v>
      </c>
      <c r="O55" s="186">
        <v>1004</v>
      </c>
      <c r="P55" s="186">
        <v>122</v>
      </c>
      <c r="Q55" s="186">
        <v>0</v>
      </c>
      <c r="R55" s="186">
        <v>0</v>
      </c>
      <c r="S55" s="186">
        <v>-816</v>
      </c>
      <c r="T55" s="186">
        <v>0</v>
      </c>
      <c r="U55" s="186">
        <v>0</v>
      </c>
      <c r="V55" s="186">
        <v>0</v>
      </c>
      <c r="W55" s="186">
        <v>-53</v>
      </c>
      <c r="X55" s="186">
        <v>0</v>
      </c>
      <c r="Y55" s="186">
        <v>763</v>
      </c>
      <c r="Z55" s="186">
        <v>0</v>
      </c>
      <c r="AA55" s="186">
        <v>0</v>
      </c>
      <c r="AB55" s="186">
        <v>-53</v>
      </c>
      <c r="AC55" s="186">
        <v>-53</v>
      </c>
      <c r="AD55" s="186">
        <v>-53</v>
      </c>
      <c r="AE55" s="186">
        <v>-53</v>
      </c>
      <c r="AF55" s="186">
        <v>-53</v>
      </c>
      <c r="AG55" s="186">
        <v>-498</v>
      </c>
      <c r="AH55" s="187">
        <v>15.4</v>
      </c>
      <c r="AK55" s="196"/>
    </row>
    <row r="56" spans="2:37">
      <c r="B56" s="185" t="s">
        <v>285</v>
      </c>
      <c r="C56" s="186">
        <v>0</v>
      </c>
      <c r="D56" s="186">
        <v>0</v>
      </c>
      <c r="E56" s="186">
        <v>0</v>
      </c>
      <c r="F56" s="186">
        <v>0</v>
      </c>
      <c r="G56" s="186">
        <v>0</v>
      </c>
      <c r="H56" s="186">
        <v>0</v>
      </c>
      <c r="I56" s="186">
        <v>0</v>
      </c>
      <c r="J56" s="186">
        <v>0</v>
      </c>
      <c r="K56" s="186">
        <v>0</v>
      </c>
      <c r="L56" s="186">
        <v>0</v>
      </c>
      <c r="M56" s="186">
        <v>0</v>
      </c>
      <c r="N56" s="186">
        <v>0</v>
      </c>
      <c r="O56" s="186">
        <v>0</v>
      </c>
      <c r="P56" s="186">
        <v>0</v>
      </c>
      <c r="Q56" s="186">
        <v>0</v>
      </c>
      <c r="R56" s="186">
        <v>0</v>
      </c>
      <c r="S56" s="186">
        <v>0</v>
      </c>
      <c r="T56" s="186">
        <v>0</v>
      </c>
      <c r="U56" s="186">
        <v>0</v>
      </c>
      <c r="V56" s="186">
        <v>0</v>
      </c>
      <c r="W56" s="186">
        <v>0</v>
      </c>
      <c r="X56" s="186">
        <v>0</v>
      </c>
      <c r="Y56" s="186">
        <v>0</v>
      </c>
      <c r="Z56" s="186">
        <v>0</v>
      </c>
      <c r="AA56" s="186">
        <v>0</v>
      </c>
      <c r="AB56" s="186">
        <v>0</v>
      </c>
      <c r="AC56" s="186">
        <v>0</v>
      </c>
      <c r="AD56" s="186">
        <v>0</v>
      </c>
      <c r="AE56" s="186">
        <v>0</v>
      </c>
      <c r="AF56" s="186">
        <v>0</v>
      </c>
      <c r="AG56" s="186">
        <v>0</v>
      </c>
      <c r="AH56" s="187">
        <v>1</v>
      </c>
      <c r="AK56" s="196"/>
    </row>
    <row r="57" spans="2:37">
      <c r="B57" s="185" t="s">
        <v>452</v>
      </c>
      <c r="C57" s="186">
        <v>0</v>
      </c>
      <c r="D57" s="186">
        <v>17</v>
      </c>
      <c r="E57" s="186">
        <v>305</v>
      </c>
      <c r="F57" s="186">
        <v>614224</v>
      </c>
      <c r="G57" s="186">
        <v>640886</v>
      </c>
      <c r="H57" s="186">
        <v>45135</v>
      </c>
      <c r="I57" s="186">
        <v>3665.4831909999966</v>
      </c>
      <c r="J57" s="186">
        <v>-71797</v>
      </c>
      <c r="K57" s="186">
        <v>741902</v>
      </c>
      <c r="L57" s="186">
        <v>511734</v>
      </c>
      <c r="M57" s="186">
        <v>614224</v>
      </c>
      <c r="N57" s="186">
        <v>614224</v>
      </c>
      <c r="O57" s="186">
        <v>32013</v>
      </c>
      <c r="P57" s="186">
        <v>19649</v>
      </c>
      <c r="Q57" s="186">
        <v>0</v>
      </c>
      <c r="R57" s="186">
        <v>0</v>
      </c>
      <c r="S57" s="186">
        <v>-78324</v>
      </c>
      <c r="T57" s="186">
        <v>0</v>
      </c>
      <c r="U57" s="186">
        <v>0</v>
      </c>
      <c r="V57" s="186">
        <v>0</v>
      </c>
      <c r="W57" s="186">
        <v>-6527</v>
      </c>
      <c r="X57" s="186">
        <v>0</v>
      </c>
      <c r="Y57" s="186">
        <v>71797</v>
      </c>
      <c r="Z57" s="186">
        <v>0</v>
      </c>
      <c r="AA57" s="186">
        <v>0</v>
      </c>
      <c r="AB57" s="186">
        <v>-6527</v>
      </c>
      <c r="AC57" s="186">
        <v>-6527</v>
      </c>
      <c r="AD57" s="186">
        <v>-6527</v>
      </c>
      <c r="AE57" s="186">
        <v>-6527</v>
      </c>
      <c r="AF57" s="186">
        <v>-6527</v>
      </c>
      <c r="AG57" s="186">
        <v>-39162</v>
      </c>
      <c r="AH57" s="187">
        <v>12</v>
      </c>
      <c r="AK57" s="196"/>
    </row>
    <row r="58" spans="2:37">
      <c r="B58" s="185" t="s">
        <v>286</v>
      </c>
      <c r="C58" s="186">
        <v>0</v>
      </c>
      <c r="D58" s="186">
        <v>0</v>
      </c>
      <c r="E58" s="186">
        <v>0</v>
      </c>
      <c r="F58" s="186">
        <v>0</v>
      </c>
      <c r="G58" s="186">
        <v>0</v>
      </c>
      <c r="H58" s="186">
        <v>0</v>
      </c>
      <c r="I58" s="186">
        <v>0</v>
      </c>
      <c r="J58" s="186">
        <v>0</v>
      </c>
      <c r="K58" s="186">
        <v>0</v>
      </c>
      <c r="L58" s="186">
        <v>0</v>
      </c>
      <c r="M58" s="186">
        <v>0</v>
      </c>
      <c r="N58" s="186">
        <v>0</v>
      </c>
      <c r="O58" s="186">
        <v>0</v>
      </c>
      <c r="P58" s="186">
        <v>0</v>
      </c>
      <c r="Q58" s="186">
        <v>0</v>
      </c>
      <c r="R58" s="186">
        <v>0</v>
      </c>
      <c r="S58" s="186">
        <v>0</v>
      </c>
      <c r="T58" s="186">
        <v>0</v>
      </c>
      <c r="U58" s="186">
        <v>0</v>
      </c>
      <c r="V58" s="186">
        <v>0</v>
      </c>
      <c r="W58" s="186">
        <v>0</v>
      </c>
      <c r="X58" s="186">
        <v>0</v>
      </c>
      <c r="Y58" s="186">
        <v>0</v>
      </c>
      <c r="Z58" s="186">
        <v>0</v>
      </c>
      <c r="AA58" s="186">
        <v>0</v>
      </c>
      <c r="AB58" s="186">
        <v>0</v>
      </c>
      <c r="AC58" s="186">
        <v>0</v>
      </c>
      <c r="AD58" s="186">
        <v>0</v>
      </c>
      <c r="AE58" s="186">
        <v>0</v>
      </c>
      <c r="AF58" s="186">
        <v>0</v>
      </c>
      <c r="AG58" s="186">
        <v>0</v>
      </c>
      <c r="AH58" s="187">
        <v>1</v>
      </c>
      <c r="AK58" s="196"/>
    </row>
    <row r="59" spans="2:37">
      <c r="B59" s="185" t="s">
        <v>453</v>
      </c>
      <c r="C59" s="186">
        <v>0</v>
      </c>
      <c r="D59" s="186">
        <v>0</v>
      </c>
      <c r="E59" s="186">
        <v>65</v>
      </c>
      <c r="F59" s="186">
        <v>27996</v>
      </c>
      <c r="G59" s="186">
        <v>28422</v>
      </c>
      <c r="H59" s="186">
        <v>3856</v>
      </c>
      <c r="I59" s="186">
        <v>944.0645169999998</v>
      </c>
      <c r="J59" s="186">
        <v>-4282</v>
      </c>
      <c r="K59" s="186">
        <v>35566</v>
      </c>
      <c r="L59" s="186">
        <v>22000</v>
      </c>
      <c r="M59" s="186">
        <v>27996</v>
      </c>
      <c r="N59" s="186">
        <v>27996</v>
      </c>
      <c r="O59" s="186">
        <v>3248</v>
      </c>
      <c r="P59" s="186">
        <v>925</v>
      </c>
      <c r="Q59" s="186">
        <v>0</v>
      </c>
      <c r="R59" s="186">
        <v>0</v>
      </c>
      <c r="S59" s="186">
        <v>-4599</v>
      </c>
      <c r="T59" s="186">
        <v>0</v>
      </c>
      <c r="U59" s="186">
        <v>0</v>
      </c>
      <c r="V59" s="186">
        <v>0</v>
      </c>
      <c r="W59" s="186">
        <v>-317</v>
      </c>
      <c r="X59" s="186">
        <v>0</v>
      </c>
      <c r="Y59" s="186">
        <v>4282</v>
      </c>
      <c r="Z59" s="186">
        <v>0</v>
      </c>
      <c r="AA59" s="186">
        <v>0</v>
      </c>
      <c r="AB59" s="186">
        <v>-317</v>
      </c>
      <c r="AC59" s="186">
        <v>-317</v>
      </c>
      <c r="AD59" s="186">
        <v>-317</v>
      </c>
      <c r="AE59" s="186">
        <v>-317</v>
      </c>
      <c r="AF59" s="186">
        <v>-317</v>
      </c>
      <c r="AG59" s="186">
        <v>-2697</v>
      </c>
      <c r="AH59" s="187">
        <v>14.5</v>
      </c>
      <c r="AK59" s="196"/>
    </row>
    <row r="60" spans="2:37">
      <c r="B60" s="185" t="s">
        <v>287</v>
      </c>
      <c r="C60" s="186">
        <v>131</v>
      </c>
      <c r="D60" s="186">
        <v>15</v>
      </c>
      <c r="E60" s="186">
        <v>264</v>
      </c>
      <c r="F60" s="186">
        <v>1099251</v>
      </c>
      <c r="G60" s="186">
        <v>1201592</v>
      </c>
      <c r="H60" s="186">
        <v>42064</v>
      </c>
      <c r="I60" s="186">
        <v>3483.4397479999989</v>
      </c>
      <c r="J60" s="186">
        <v>-82155</v>
      </c>
      <c r="K60" s="186">
        <v>1249067</v>
      </c>
      <c r="L60" s="186">
        <v>976352</v>
      </c>
      <c r="M60" s="186">
        <v>1099251</v>
      </c>
      <c r="N60" s="186">
        <v>1099251</v>
      </c>
      <c r="O60" s="186">
        <v>17897</v>
      </c>
      <c r="P60" s="186">
        <v>34700</v>
      </c>
      <c r="Q60" s="186">
        <v>0</v>
      </c>
      <c r="R60" s="186">
        <v>0</v>
      </c>
      <c r="S60" s="186">
        <v>-92688</v>
      </c>
      <c r="T60" s="186">
        <v>62250</v>
      </c>
      <c r="U60" s="186">
        <v>0</v>
      </c>
      <c r="V60" s="186">
        <v>0</v>
      </c>
      <c r="W60" s="186">
        <v>-10533</v>
      </c>
      <c r="X60" s="186">
        <v>0</v>
      </c>
      <c r="Y60" s="186">
        <v>82155</v>
      </c>
      <c r="Z60" s="186">
        <v>0</v>
      </c>
      <c r="AA60" s="186">
        <v>0</v>
      </c>
      <c r="AB60" s="186">
        <v>-10533</v>
      </c>
      <c r="AC60" s="186">
        <v>-10533</v>
      </c>
      <c r="AD60" s="186">
        <v>-10533</v>
      </c>
      <c r="AE60" s="186">
        <v>-10533</v>
      </c>
      <c r="AF60" s="186">
        <v>-10533</v>
      </c>
      <c r="AG60" s="186">
        <v>-29490</v>
      </c>
      <c r="AH60" s="187">
        <v>8.8000000000000007</v>
      </c>
      <c r="AK60" s="196"/>
    </row>
    <row r="61" spans="2:37">
      <c r="B61" s="185" t="s">
        <v>288</v>
      </c>
      <c r="C61" s="186">
        <v>125</v>
      </c>
      <c r="D61" s="186">
        <v>56</v>
      </c>
      <c r="E61" s="186">
        <v>315</v>
      </c>
      <c r="F61" s="186">
        <v>1575460</v>
      </c>
      <c r="G61" s="186">
        <v>1703902</v>
      </c>
      <c r="H61" s="186">
        <v>58175</v>
      </c>
      <c r="I61" s="186">
        <v>3294.215268999998</v>
      </c>
      <c r="J61" s="186">
        <v>-117317</v>
      </c>
      <c r="K61" s="186">
        <v>1794255</v>
      </c>
      <c r="L61" s="186">
        <v>1394630</v>
      </c>
      <c r="M61" s="186">
        <v>1575460</v>
      </c>
      <c r="N61" s="186">
        <v>1575460</v>
      </c>
      <c r="O61" s="186">
        <v>26702</v>
      </c>
      <c r="P61" s="186">
        <v>49522</v>
      </c>
      <c r="Q61" s="186">
        <v>0</v>
      </c>
      <c r="R61" s="186">
        <v>0</v>
      </c>
      <c r="S61" s="186">
        <v>-135366</v>
      </c>
      <c r="T61" s="186">
        <v>69300</v>
      </c>
      <c r="U61" s="186">
        <v>0</v>
      </c>
      <c r="V61" s="186">
        <v>0</v>
      </c>
      <c r="W61" s="186">
        <v>-18049</v>
      </c>
      <c r="X61" s="186">
        <v>0</v>
      </c>
      <c r="Y61" s="186">
        <v>117317</v>
      </c>
      <c r="Z61" s="186">
        <v>0</v>
      </c>
      <c r="AA61" s="186">
        <v>0</v>
      </c>
      <c r="AB61" s="186">
        <v>-18049</v>
      </c>
      <c r="AC61" s="186">
        <v>-18049</v>
      </c>
      <c r="AD61" s="186">
        <v>-18049</v>
      </c>
      <c r="AE61" s="186">
        <v>-18049</v>
      </c>
      <c r="AF61" s="186">
        <v>-18049</v>
      </c>
      <c r="AG61" s="186">
        <v>-27072</v>
      </c>
      <c r="AH61" s="187">
        <v>7.5</v>
      </c>
      <c r="AK61" s="196"/>
    </row>
    <row r="62" spans="2:37">
      <c r="B62" s="185" t="s">
        <v>289</v>
      </c>
      <c r="C62" s="186">
        <v>0</v>
      </c>
      <c r="D62" s="186">
        <v>0</v>
      </c>
      <c r="E62" s="186">
        <v>33</v>
      </c>
      <c r="F62" s="186">
        <v>9885</v>
      </c>
      <c r="G62" s="186">
        <v>9828</v>
      </c>
      <c r="H62" s="186">
        <v>1620</v>
      </c>
      <c r="I62" s="186">
        <v>496.18601199999995</v>
      </c>
      <c r="J62" s="186">
        <v>-1563</v>
      </c>
      <c r="K62" s="186">
        <v>12648</v>
      </c>
      <c r="L62" s="186">
        <v>7884</v>
      </c>
      <c r="M62" s="186">
        <v>9885</v>
      </c>
      <c r="N62" s="186">
        <v>9885</v>
      </c>
      <c r="O62" s="186">
        <v>1404</v>
      </c>
      <c r="P62" s="186">
        <v>328</v>
      </c>
      <c r="Q62" s="186">
        <v>0</v>
      </c>
      <c r="R62" s="186">
        <v>0</v>
      </c>
      <c r="S62" s="186">
        <v>-1675</v>
      </c>
      <c r="T62" s="186">
        <v>0</v>
      </c>
      <c r="U62" s="186">
        <v>0</v>
      </c>
      <c r="V62" s="186">
        <v>0</v>
      </c>
      <c r="W62" s="186">
        <v>-112</v>
      </c>
      <c r="X62" s="186">
        <v>0</v>
      </c>
      <c r="Y62" s="186">
        <v>1563</v>
      </c>
      <c r="Z62" s="186">
        <v>0</v>
      </c>
      <c r="AA62" s="186">
        <v>0</v>
      </c>
      <c r="AB62" s="186">
        <v>-112</v>
      </c>
      <c r="AC62" s="186">
        <v>-112</v>
      </c>
      <c r="AD62" s="186">
        <v>-112</v>
      </c>
      <c r="AE62" s="186">
        <v>-112</v>
      </c>
      <c r="AF62" s="186">
        <v>-112</v>
      </c>
      <c r="AG62" s="186">
        <v>-1003</v>
      </c>
      <c r="AH62" s="187">
        <v>15</v>
      </c>
      <c r="AK62" s="196"/>
    </row>
    <row r="63" spans="2:37">
      <c r="B63" s="185" t="s">
        <v>290</v>
      </c>
      <c r="C63" s="186">
        <v>49</v>
      </c>
      <c r="D63" s="186">
        <v>24</v>
      </c>
      <c r="E63" s="186">
        <v>244</v>
      </c>
      <c r="F63" s="186">
        <v>850699</v>
      </c>
      <c r="G63" s="186">
        <v>915995</v>
      </c>
      <c r="H63" s="186">
        <v>38618</v>
      </c>
      <c r="I63" s="186">
        <v>2803.191135</v>
      </c>
      <c r="J63" s="186">
        <v>-76014</v>
      </c>
      <c r="K63" s="186">
        <v>988122</v>
      </c>
      <c r="L63" s="186">
        <v>738699</v>
      </c>
      <c r="M63" s="186">
        <v>850699</v>
      </c>
      <c r="N63" s="186">
        <v>850699</v>
      </c>
      <c r="O63" s="186">
        <v>20518</v>
      </c>
      <c r="P63" s="186">
        <v>26939</v>
      </c>
      <c r="Q63" s="186">
        <v>0</v>
      </c>
      <c r="R63" s="186">
        <v>0</v>
      </c>
      <c r="S63" s="186">
        <v>-84853</v>
      </c>
      <c r="T63" s="186">
        <v>27900</v>
      </c>
      <c r="U63" s="186">
        <v>0</v>
      </c>
      <c r="V63" s="186">
        <v>0</v>
      </c>
      <c r="W63" s="186">
        <v>-8839</v>
      </c>
      <c r="X63" s="186">
        <v>0</v>
      </c>
      <c r="Y63" s="186">
        <v>76014</v>
      </c>
      <c r="Z63" s="186">
        <v>0</v>
      </c>
      <c r="AA63" s="186">
        <v>0</v>
      </c>
      <c r="AB63" s="186">
        <v>-8839</v>
      </c>
      <c r="AC63" s="186">
        <v>-8839</v>
      </c>
      <c r="AD63" s="186">
        <v>-8839</v>
      </c>
      <c r="AE63" s="186">
        <v>-8839</v>
      </c>
      <c r="AF63" s="186">
        <v>-8839</v>
      </c>
      <c r="AG63" s="186">
        <v>-31819</v>
      </c>
      <c r="AH63" s="187">
        <v>9.6</v>
      </c>
      <c r="AK63" s="196"/>
    </row>
    <row r="64" spans="2:37">
      <c r="B64" s="185" t="s">
        <v>291</v>
      </c>
      <c r="C64" s="186">
        <v>161</v>
      </c>
      <c r="D64" s="186">
        <v>104</v>
      </c>
      <c r="E64" s="186">
        <v>496</v>
      </c>
      <c r="F64" s="186">
        <v>2200079</v>
      </c>
      <c r="G64" s="186">
        <v>2380832</v>
      </c>
      <c r="H64" s="186">
        <v>85360</v>
      </c>
      <c r="I64" s="186">
        <v>5984.2464009999994</v>
      </c>
      <c r="J64" s="186">
        <v>-177013</v>
      </c>
      <c r="K64" s="186">
        <v>2522612</v>
      </c>
      <c r="L64" s="186">
        <v>1935861</v>
      </c>
      <c r="M64" s="186">
        <v>2200079</v>
      </c>
      <c r="N64" s="186">
        <v>2200079</v>
      </c>
      <c r="O64" s="186">
        <v>37888</v>
      </c>
      <c r="P64" s="186">
        <v>69326</v>
      </c>
      <c r="Q64" s="186">
        <v>0</v>
      </c>
      <c r="R64" s="186">
        <v>0</v>
      </c>
      <c r="S64" s="186">
        <v>-198867</v>
      </c>
      <c r="T64" s="186">
        <v>89100</v>
      </c>
      <c r="U64" s="186">
        <v>0</v>
      </c>
      <c r="V64" s="186">
        <v>0</v>
      </c>
      <c r="W64" s="186">
        <v>-21854</v>
      </c>
      <c r="X64" s="186">
        <v>0</v>
      </c>
      <c r="Y64" s="186">
        <v>177013</v>
      </c>
      <c r="Z64" s="186">
        <v>0</v>
      </c>
      <c r="AA64" s="186">
        <v>0</v>
      </c>
      <c r="AB64" s="186">
        <v>-21854</v>
      </c>
      <c r="AC64" s="186">
        <v>-21854</v>
      </c>
      <c r="AD64" s="186">
        <v>-21854</v>
      </c>
      <c r="AE64" s="186">
        <v>-21854</v>
      </c>
      <c r="AF64" s="186">
        <v>-21854</v>
      </c>
      <c r="AG64" s="186">
        <v>-67743</v>
      </c>
      <c r="AH64" s="187">
        <v>9.1</v>
      </c>
      <c r="AK64" s="196"/>
    </row>
    <row r="65" spans="2:37">
      <c r="B65" s="185" t="s">
        <v>292</v>
      </c>
      <c r="C65" s="186">
        <v>92</v>
      </c>
      <c r="D65" s="186">
        <v>52</v>
      </c>
      <c r="E65" s="186">
        <v>327</v>
      </c>
      <c r="F65" s="186">
        <v>2429851</v>
      </c>
      <c r="G65" s="186">
        <v>2624803</v>
      </c>
      <c r="H65" s="186">
        <v>98916</v>
      </c>
      <c r="I65" s="186">
        <v>3474.4070629999997</v>
      </c>
      <c r="J65" s="186">
        <v>-193968</v>
      </c>
      <c r="K65" s="186">
        <v>2787529</v>
      </c>
      <c r="L65" s="186">
        <v>2135526</v>
      </c>
      <c r="M65" s="186">
        <v>2429851</v>
      </c>
      <c r="N65" s="186">
        <v>2429851</v>
      </c>
      <c r="O65" s="186">
        <v>48874</v>
      </c>
      <c r="P65" s="186">
        <v>76613</v>
      </c>
      <c r="Q65" s="186">
        <v>0</v>
      </c>
      <c r="R65" s="186">
        <v>0</v>
      </c>
      <c r="S65" s="186">
        <v>-220539</v>
      </c>
      <c r="T65" s="186">
        <v>99900</v>
      </c>
      <c r="U65" s="186">
        <v>0</v>
      </c>
      <c r="V65" s="186">
        <v>0</v>
      </c>
      <c r="W65" s="186">
        <v>-26571</v>
      </c>
      <c r="X65" s="186">
        <v>0</v>
      </c>
      <c r="Y65" s="186">
        <v>193968</v>
      </c>
      <c r="Z65" s="186">
        <v>0</v>
      </c>
      <c r="AA65" s="186">
        <v>0</v>
      </c>
      <c r="AB65" s="186">
        <v>-26571</v>
      </c>
      <c r="AC65" s="186">
        <v>-26571</v>
      </c>
      <c r="AD65" s="186">
        <v>-26571</v>
      </c>
      <c r="AE65" s="186">
        <v>-26571</v>
      </c>
      <c r="AF65" s="186">
        <v>-26571</v>
      </c>
      <c r="AG65" s="186">
        <v>-61113</v>
      </c>
      <c r="AH65" s="187">
        <v>8.3000000000000007</v>
      </c>
      <c r="AK65" s="196"/>
    </row>
    <row r="66" spans="2:37">
      <c r="B66" s="185" t="s">
        <v>293</v>
      </c>
      <c r="C66" s="186">
        <v>57</v>
      </c>
      <c r="D66" s="186">
        <v>18</v>
      </c>
      <c r="E66" s="186">
        <v>154</v>
      </c>
      <c r="F66" s="186">
        <v>694720</v>
      </c>
      <c r="G66" s="186">
        <v>752459</v>
      </c>
      <c r="H66" s="186">
        <v>27466</v>
      </c>
      <c r="I66" s="186">
        <v>1782.9791549999998</v>
      </c>
      <c r="J66" s="186">
        <v>-53855</v>
      </c>
      <c r="K66" s="186">
        <v>793401</v>
      </c>
      <c r="L66" s="186">
        <v>613295</v>
      </c>
      <c r="M66" s="186">
        <v>694720</v>
      </c>
      <c r="N66" s="186">
        <v>694720</v>
      </c>
      <c r="O66" s="186">
        <v>12760</v>
      </c>
      <c r="P66" s="186">
        <v>21887</v>
      </c>
      <c r="Q66" s="186">
        <v>0</v>
      </c>
      <c r="R66" s="186">
        <v>0</v>
      </c>
      <c r="S66" s="186">
        <v>-61036</v>
      </c>
      <c r="T66" s="186">
        <v>31350</v>
      </c>
      <c r="U66" s="186">
        <v>0</v>
      </c>
      <c r="V66" s="186">
        <v>0</v>
      </c>
      <c r="W66" s="186">
        <v>-7181</v>
      </c>
      <c r="X66" s="186">
        <v>0</v>
      </c>
      <c r="Y66" s="186">
        <v>53855</v>
      </c>
      <c r="Z66" s="186">
        <v>0</v>
      </c>
      <c r="AA66" s="186">
        <v>0</v>
      </c>
      <c r="AB66" s="186">
        <v>-7181</v>
      </c>
      <c r="AC66" s="186">
        <v>-7181</v>
      </c>
      <c r="AD66" s="186">
        <v>-7181</v>
      </c>
      <c r="AE66" s="186">
        <v>-7181</v>
      </c>
      <c r="AF66" s="186">
        <v>-7181</v>
      </c>
      <c r="AG66" s="186">
        <v>-17950</v>
      </c>
      <c r="AH66" s="187">
        <v>8.5</v>
      </c>
      <c r="AK66" s="196"/>
    </row>
    <row r="67" spans="2:37">
      <c r="B67" s="185" t="s">
        <v>294</v>
      </c>
      <c r="C67" s="186">
        <v>19</v>
      </c>
      <c r="D67" s="186">
        <v>7</v>
      </c>
      <c r="E67" s="186">
        <v>48</v>
      </c>
      <c r="F67" s="186">
        <v>239853</v>
      </c>
      <c r="G67" s="186">
        <v>258994</v>
      </c>
      <c r="H67" s="186">
        <v>8926</v>
      </c>
      <c r="I67" s="186">
        <v>570.10602700000015</v>
      </c>
      <c r="J67" s="186">
        <v>-18017</v>
      </c>
      <c r="K67" s="186">
        <v>272910</v>
      </c>
      <c r="L67" s="186">
        <v>212445</v>
      </c>
      <c r="M67" s="186">
        <v>239853</v>
      </c>
      <c r="N67" s="186">
        <v>239853</v>
      </c>
      <c r="O67" s="186">
        <v>3801</v>
      </c>
      <c r="P67" s="186">
        <v>7527</v>
      </c>
      <c r="Q67" s="186">
        <v>0</v>
      </c>
      <c r="R67" s="186">
        <v>0</v>
      </c>
      <c r="S67" s="186">
        <v>-20419</v>
      </c>
      <c r="T67" s="186">
        <v>10050</v>
      </c>
      <c r="U67" s="186">
        <v>0</v>
      </c>
      <c r="V67" s="186">
        <v>0</v>
      </c>
      <c r="W67" s="186">
        <v>-2402</v>
      </c>
      <c r="X67" s="186">
        <v>0</v>
      </c>
      <c r="Y67" s="186">
        <v>18017</v>
      </c>
      <c r="Z67" s="186">
        <v>0</v>
      </c>
      <c r="AA67" s="186">
        <v>0</v>
      </c>
      <c r="AB67" s="186">
        <v>-2402</v>
      </c>
      <c r="AC67" s="186">
        <v>-2402</v>
      </c>
      <c r="AD67" s="186">
        <v>-2402</v>
      </c>
      <c r="AE67" s="186">
        <v>-2402</v>
      </c>
      <c r="AF67" s="186">
        <v>-2402</v>
      </c>
      <c r="AG67" s="186">
        <v>-6007</v>
      </c>
      <c r="AH67" s="187">
        <v>8.5</v>
      </c>
      <c r="AK67" s="196"/>
    </row>
    <row r="68" spans="2:37">
      <c r="B68" s="185" t="s">
        <v>295</v>
      </c>
      <c r="C68" s="186">
        <v>253</v>
      </c>
      <c r="D68" s="186">
        <v>125</v>
      </c>
      <c r="E68" s="186">
        <v>1001</v>
      </c>
      <c r="F68" s="186">
        <v>7319558</v>
      </c>
      <c r="G68" s="186">
        <v>7864250</v>
      </c>
      <c r="H68" s="186">
        <v>328590</v>
      </c>
      <c r="I68" s="186">
        <v>10857.306682000028</v>
      </c>
      <c r="J68" s="186">
        <v>-595182</v>
      </c>
      <c r="K68" s="186">
        <v>8409130</v>
      </c>
      <c r="L68" s="186">
        <v>6423273</v>
      </c>
      <c r="M68" s="186">
        <v>7319558</v>
      </c>
      <c r="N68" s="186">
        <v>7319558</v>
      </c>
      <c r="O68" s="186">
        <v>175194</v>
      </c>
      <c r="P68" s="186">
        <v>230692</v>
      </c>
      <c r="Q68" s="186">
        <v>0</v>
      </c>
      <c r="R68" s="186">
        <v>0</v>
      </c>
      <c r="S68" s="186">
        <v>-672478</v>
      </c>
      <c r="T68" s="186">
        <v>278100</v>
      </c>
      <c r="U68" s="186">
        <v>0</v>
      </c>
      <c r="V68" s="186">
        <v>0</v>
      </c>
      <c r="W68" s="186">
        <v>-77296</v>
      </c>
      <c r="X68" s="186">
        <v>0</v>
      </c>
      <c r="Y68" s="186">
        <v>595182</v>
      </c>
      <c r="Z68" s="186">
        <v>0</v>
      </c>
      <c r="AA68" s="186">
        <v>0</v>
      </c>
      <c r="AB68" s="186">
        <v>-77296</v>
      </c>
      <c r="AC68" s="186">
        <v>-77296</v>
      </c>
      <c r="AD68" s="186">
        <v>-77296</v>
      </c>
      <c r="AE68" s="186">
        <v>-77296</v>
      </c>
      <c r="AF68" s="186">
        <v>-77296</v>
      </c>
      <c r="AG68" s="186">
        <v>-208702</v>
      </c>
      <c r="AH68" s="187">
        <v>8.6999999999999993</v>
      </c>
      <c r="AK68" s="196"/>
    </row>
    <row r="69" spans="2:37">
      <c r="B69" s="185" t="s">
        <v>454</v>
      </c>
      <c r="C69" s="186">
        <v>0</v>
      </c>
      <c r="D69" s="186">
        <v>18</v>
      </c>
      <c r="E69" s="186">
        <v>67</v>
      </c>
      <c r="F69" s="186">
        <v>195377</v>
      </c>
      <c r="G69" s="186">
        <v>205136</v>
      </c>
      <c r="H69" s="186">
        <v>10224</v>
      </c>
      <c r="I69" s="186">
        <v>770.03985799999987</v>
      </c>
      <c r="J69" s="186">
        <v>-19983</v>
      </c>
      <c r="K69" s="186">
        <v>230932</v>
      </c>
      <c r="L69" s="186">
        <v>166545</v>
      </c>
      <c r="M69" s="186">
        <v>195377</v>
      </c>
      <c r="N69" s="186">
        <v>195377</v>
      </c>
      <c r="O69" s="186">
        <v>5963</v>
      </c>
      <c r="P69" s="186">
        <v>6164</v>
      </c>
      <c r="Q69" s="186">
        <v>0</v>
      </c>
      <c r="R69" s="186">
        <v>0</v>
      </c>
      <c r="S69" s="186">
        <v>-21886</v>
      </c>
      <c r="T69" s="186">
        <v>0</v>
      </c>
      <c r="U69" s="186">
        <v>0</v>
      </c>
      <c r="V69" s="186">
        <v>0</v>
      </c>
      <c r="W69" s="186">
        <v>-1903</v>
      </c>
      <c r="X69" s="186">
        <v>0</v>
      </c>
      <c r="Y69" s="186">
        <v>19983</v>
      </c>
      <c r="Z69" s="186">
        <v>0</v>
      </c>
      <c r="AA69" s="186">
        <v>0</v>
      </c>
      <c r="AB69" s="186">
        <v>-1903</v>
      </c>
      <c r="AC69" s="186">
        <v>-1903</v>
      </c>
      <c r="AD69" s="186">
        <v>-1903</v>
      </c>
      <c r="AE69" s="186">
        <v>-1903</v>
      </c>
      <c r="AF69" s="186">
        <v>-1903</v>
      </c>
      <c r="AG69" s="186">
        <v>-10468</v>
      </c>
      <c r="AH69" s="187">
        <v>11.5</v>
      </c>
      <c r="AK69" s="196"/>
    </row>
    <row r="70" spans="2:37">
      <c r="B70" s="185" t="s">
        <v>455</v>
      </c>
      <c r="C70" s="186">
        <v>0</v>
      </c>
      <c r="D70" s="186">
        <v>413</v>
      </c>
      <c r="E70" s="186">
        <v>2388</v>
      </c>
      <c r="F70" s="186">
        <v>5037686</v>
      </c>
      <c r="G70" s="186">
        <v>5278567</v>
      </c>
      <c r="H70" s="186">
        <v>293551</v>
      </c>
      <c r="I70" s="186">
        <v>27510.908204999949</v>
      </c>
      <c r="J70" s="186">
        <v>-534432</v>
      </c>
      <c r="K70" s="186">
        <v>5989979</v>
      </c>
      <c r="L70" s="186">
        <v>4269526</v>
      </c>
      <c r="M70" s="186">
        <v>5037686</v>
      </c>
      <c r="N70" s="186">
        <v>5037686</v>
      </c>
      <c r="O70" s="186">
        <v>184915</v>
      </c>
      <c r="P70" s="186">
        <v>159534</v>
      </c>
      <c r="Q70" s="186">
        <v>0</v>
      </c>
      <c r="R70" s="186">
        <v>0</v>
      </c>
      <c r="S70" s="186">
        <v>-585330</v>
      </c>
      <c r="T70" s="186">
        <v>0</v>
      </c>
      <c r="U70" s="186">
        <v>0</v>
      </c>
      <c r="V70" s="186">
        <v>0</v>
      </c>
      <c r="W70" s="186">
        <v>-50898</v>
      </c>
      <c r="X70" s="186">
        <v>0</v>
      </c>
      <c r="Y70" s="186">
        <v>534432</v>
      </c>
      <c r="Z70" s="186">
        <v>0</v>
      </c>
      <c r="AA70" s="186">
        <v>0</v>
      </c>
      <c r="AB70" s="186">
        <v>-50898</v>
      </c>
      <c r="AC70" s="186">
        <v>-50898</v>
      </c>
      <c r="AD70" s="186">
        <v>-50898</v>
      </c>
      <c r="AE70" s="186">
        <v>-50898</v>
      </c>
      <c r="AF70" s="186">
        <v>-50898</v>
      </c>
      <c r="AG70" s="186">
        <v>-279942</v>
      </c>
      <c r="AH70" s="187">
        <v>11.5</v>
      </c>
      <c r="AK70" s="196"/>
    </row>
    <row r="71" spans="2:37">
      <c r="B71" s="185" t="s">
        <v>296</v>
      </c>
      <c r="C71" s="186">
        <v>22</v>
      </c>
      <c r="D71" s="186">
        <v>8</v>
      </c>
      <c r="E71" s="186">
        <v>100</v>
      </c>
      <c r="F71" s="186">
        <v>352689</v>
      </c>
      <c r="G71" s="186">
        <v>377074</v>
      </c>
      <c r="H71" s="186">
        <v>16611</v>
      </c>
      <c r="I71" s="186">
        <v>1147.9785079999999</v>
      </c>
      <c r="J71" s="186">
        <v>-28396</v>
      </c>
      <c r="K71" s="186">
        <v>404097</v>
      </c>
      <c r="L71" s="186">
        <v>310030</v>
      </c>
      <c r="M71" s="186">
        <v>352689</v>
      </c>
      <c r="N71" s="186">
        <v>352689</v>
      </c>
      <c r="O71" s="186">
        <v>8904</v>
      </c>
      <c r="P71" s="186">
        <v>11087</v>
      </c>
      <c r="Q71" s="186">
        <v>0</v>
      </c>
      <c r="R71" s="186">
        <v>0</v>
      </c>
      <c r="S71" s="186">
        <v>-31776</v>
      </c>
      <c r="T71" s="186">
        <v>12600</v>
      </c>
      <c r="U71" s="186">
        <v>0</v>
      </c>
      <c r="V71" s="186">
        <v>0</v>
      </c>
      <c r="W71" s="186">
        <v>-3380</v>
      </c>
      <c r="X71" s="186">
        <v>0</v>
      </c>
      <c r="Y71" s="186">
        <v>28396</v>
      </c>
      <c r="Z71" s="186">
        <v>0</v>
      </c>
      <c r="AA71" s="186">
        <v>0</v>
      </c>
      <c r="AB71" s="186">
        <v>-3380</v>
      </c>
      <c r="AC71" s="186">
        <v>-3380</v>
      </c>
      <c r="AD71" s="186">
        <v>-3380</v>
      </c>
      <c r="AE71" s="186">
        <v>-3380</v>
      </c>
      <c r="AF71" s="186">
        <v>-3380</v>
      </c>
      <c r="AG71" s="186">
        <v>-11496</v>
      </c>
      <c r="AH71" s="187">
        <v>9.4</v>
      </c>
      <c r="AK71" s="196"/>
    </row>
    <row r="72" spans="2:37">
      <c r="B72" s="185" t="s">
        <v>297</v>
      </c>
      <c r="C72" s="186">
        <v>77</v>
      </c>
      <c r="D72" s="186">
        <v>31</v>
      </c>
      <c r="E72" s="186">
        <v>293</v>
      </c>
      <c r="F72" s="186">
        <v>1074711</v>
      </c>
      <c r="G72" s="186">
        <v>1158506</v>
      </c>
      <c r="H72" s="186">
        <v>47243</v>
      </c>
      <c r="I72" s="186">
        <v>3134.3553139999995</v>
      </c>
      <c r="J72" s="186">
        <v>-89488</v>
      </c>
      <c r="K72" s="186">
        <v>1239128</v>
      </c>
      <c r="L72" s="186">
        <v>940114</v>
      </c>
      <c r="M72" s="186">
        <v>1074711</v>
      </c>
      <c r="N72" s="186">
        <v>1074711</v>
      </c>
      <c r="O72" s="186">
        <v>25217</v>
      </c>
      <c r="P72" s="186">
        <v>33958</v>
      </c>
      <c r="Q72" s="186">
        <v>0</v>
      </c>
      <c r="R72" s="186">
        <v>0</v>
      </c>
      <c r="S72" s="186">
        <v>-101420</v>
      </c>
      <c r="T72" s="186">
        <v>41550</v>
      </c>
      <c r="U72" s="186">
        <v>0</v>
      </c>
      <c r="V72" s="186">
        <v>0</v>
      </c>
      <c r="W72" s="186">
        <v>-11932</v>
      </c>
      <c r="X72" s="186">
        <v>0</v>
      </c>
      <c r="Y72" s="186">
        <v>89488</v>
      </c>
      <c r="Z72" s="186">
        <v>0</v>
      </c>
      <c r="AA72" s="186">
        <v>0</v>
      </c>
      <c r="AB72" s="186">
        <v>-11932</v>
      </c>
      <c r="AC72" s="186">
        <v>-11932</v>
      </c>
      <c r="AD72" s="186">
        <v>-11932</v>
      </c>
      <c r="AE72" s="186">
        <v>-11932</v>
      </c>
      <c r="AF72" s="186">
        <v>-11932</v>
      </c>
      <c r="AG72" s="186">
        <v>-29828</v>
      </c>
      <c r="AH72" s="187">
        <v>8.5</v>
      </c>
      <c r="AK72" s="196"/>
    </row>
    <row r="73" spans="2:37">
      <c r="B73" s="185" t="s">
        <v>298</v>
      </c>
      <c r="C73" s="186">
        <v>94</v>
      </c>
      <c r="D73" s="186">
        <v>50</v>
      </c>
      <c r="E73" s="186">
        <v>253</v>
      </c>
      <c r="F73" s="186">
        <v>1308720</v>
      </c>
      <c r="G73" s="186">
        <v>1409728</v>
      </c>
      <c r="H73" s="186">
        <v>49977</v>
      </c>
      <c r="I73" s="186">
        <v>2689.1517959999996</v>
      </c>
      <c r="J73" s="186">
        <v>-100435</v>
      </c>
      <c r="K73" s="186">
        <v>1495376</v>
      </c>
      <c r="L73" s="186">
        <v>1154021</v>
      </c>
      <c r="M73" s="186">
        <v>1308720</v>
      </c>
      <c r="N73" s="186">
        <v>1308720</v>
      </c>
      <c r="O73" s="186">
        <v>23845</v>
      </c>
      <c r="P73" s="186">
        <v>41122</v>
      </c>
      <c r="Q73" s="186">
        <v>0</v>
      </c>
      <c r="R73" s="186">
        <v>0</v>
      </c>
      <c r="S73" s="186">
        <v>-115425</v>
      </c>
      <c r="T73" s="186">
        <v>50550</v>
      </c>
      <c r="U73" s="186">
        <v>0</v>
      </c>
      <c r="V73" s="186">
        <v>0</v>
      </c>
      <c r="W73" s="186">
        <v>-14990</v>
      </c>
      <c r="X73" s="186">
        <v>0</v>
      </c>
      <c r="Y73" s="186">
        <v>100435</v>
      </c>
      <c r="Z73" s="186">
        <v>0</v>
      </c>
      <c r="AA73" s="186">
        <v>0</v>
      </c>
      <c r="AB73" s="186">
        <v>-14990</v>
      </c>
      <c r="AC73" s="186">
        <v>-14990</v>
      </c>
      <c r="AD73" s="186">
        <v>-14990</v>
      </c>
      <c r="AE73" s="186">
        <v>-14990</v>
      </c>
      <c r="AF73" s="186">
        <v>-14990</v>
      </c>
      <c r="AG73" s="186">
        <v>-25485</v>
      </c>
      <c r="AH73" s="187">
        <v>7.7</v>
      </c>
      <c r="AK73" s="196"/>
    </row>
    <row r="74" spans="2:37">
      <c r="B74" s="185" t="s">
        <v>299</v>
      </c>
      <c r="C74" s="186">
        <v>0</v>
      </c>
      <c r="D74" s="186">
        <v>0</v>
      </c>
      <c r="E74" s="186">
        <v>0</v>
      </c>
      <c r="F74" s="186">
        <v>0</v>
      </c>
      <c r="G74" s="186">
        <v>0</v>
      </c>
      <c r="H74" s="186">
        <v>0</v>
      </c>
      <c r="I74" s="186">
        <v>0</v>
      </c>
      <c r="J74" s="186">
        <v>0</v>
      </c>
      <c r="K74" s="186">
        <v>0</v>
      </c>
      <c r="L74" s="186">
        <v>0</v>
      </c>
      <c r="M74" s="186">
        <v>0</v>
      </c>
      <c r="N74" s="186">
        <v>0</v>
      </c>
      <c r="O74" s="186">
        <v>0</v>
      </c>
      <c r="P74" s="186">
        <v>0</v>
      </c>
      <c r="Q74" s="186">
        <v>0</v>
      </c>
      <c r="R74" s="186">
        <v>0</v>
      </c>
      <c r="S74" s="186">
        <v>0</v>
      </c>
      <c r="T74" s="186">
        <v>0</v>
      </c>
      <c r="U74" s="186">
        <v>0</v>
      </c>
      <c r="V74" s="186">
        <v>0</v>
      </c>
      <c r="W74" s="186">
        <v>0</v>
      </c>
      <c r="X74" s="186">
        <v>0</v>
      </c>
      <c r="Y74" s="186">
        <v>0</v>
      </c>
      <c r="Z74" s="186">
        <v>0</v>
      </c>
      <c r="AA74" s="186">
        <v>0</v>
      </c>
      <c r="AB74" s="186">
        <v>0</v>
      </c>
      <c r="AC74" s="186">
        <v>0</v>
      </c>
      <c r="AD74" s="186">
        <v>0</v>
      </c>
      <c r="AE74" s="186">
        <v>0</v>
      </c>
      <c r="AF74" s="186">
        <v>0</v>
      </c>
      <c r="AG74" s="186">
        <v>0</v>
      </c>
      <c r="AH74" s="187">
        <v>1</v>
      </c>
      <c r="AK74" s="196"/>
    </row>
    <row r="75" spans="2:37">
      <c r="B75" s="185" t="s">
        <v>300</v>
      </c>
      <c r="C75" s="186">
        <v>148</v>
      </c>
      <c r="D75" s="186">
        <v>80</v>
      </c>
      <c r="E75" s="186">
        <v>994</v>
      </c>
      <c r="F75" s="186">
        <v>5931944</v>
      </c>
      <c r="G75" s="186">
        <v>6281572</v>
      </c>
      <c r="H75" s="186">
        <v>332042</v>
      </c>
      <c r="I75" s="186">
        <v>10528.204652999997</v>
      </c>
      <c r="J75" s="186">
        <v>-517570</v>
      </c>
      <c r="K75" s="186">
        <v>6873959</v>
      </c>
      <c r="L75" s="186">
        <v>5158960</v>
      </c>
      <c r="M75" s="186">
        <v>5931944</v>
      </c>
      <c r="N75" s="186">
        <v>5931944</v>
      </c>
      <c r="O75" s="186">
        <v>208059</v>
      </c>
      <c r="P75" s="186">
        <v>187101</v>
      </c>
      <c r="Q75" s="186">
        <v>0</v>
      </c>
      <c r="R75" s="186">
        <v>0</v>
      </c>
      <c r="S75" s="186">
        <v>-580688</v>
      </c>
      <c r="T75" s="186">
        <v>164100</v>
      </c>
      <c r="U75" s="186">
        <v>0</v>
      </c>
      <c r="V75" s="186">
        <v>0</v>
      </c>
      <c r="W75" s="186">
        <v>-63118</v>
      </c>
      <c r="X75" s="186">
        <v>0</v>
      </c>
      <c r="Y75" s="186">
        <v>517570</v>
      </c>
      <c r="Z75" s="186">
        <v>0</v>
      </c>
      <c r="AA75" s="186">
        <v>0</v>
      </c>
      <c r="AB75" s="186">
        <v>-63118</v>
      </c>
      <c r="AC75" s="186">
        <v>-63118</v>
      </c>
      <c r="AD75" s="186">
        <v>-63118</v>
      </c>
      <c r="AE75" s="186">
        <v>-63118</v>
      </c>
      <c r="AF75" s="186">
        <v>-63118</v>
      </c>
      <c r="AG75" s="186">
        <v>-201980</v>
      </c>
      <c r="AH75" s="187">
        <v>9.1999999999999993</v>
      </c>
      <c r="AK75" s="196"/>
    </row>
    <row r="76" spans="2:37">
      <c r="B76" s="185" t="s">
        <v>301</v>
      </c>
      <c r="C76" s="186">
        <v>90</v>
      </c>
      <c r="D76" s="186">
        <v>19</v>
      </c>
      <c r="E76" s="186">
        <v>235</v>
      </c>
      <c r="F76" s="186">
        <v>929497</v>
      </c>
      <c r="G76" s="186">
        <v>1006347</v>
      </c>
      <c r="H76" s="186">
        <v>38673</v>
      </c>
      <c r="I76" s="186">
        <v>2666.9507209999979</v>
      </c>
      <c r="J76" s="186">
        <v>-69023</v>
      </c>
      <c r="K76" s="186">
        <v>1056706</v>
      </c>
      <c r="L76" s="186">
        <v>824199</v>
      </c>
      <c r="M76" s="186">
        <v>929497</v>
      </c>
      <c r="N76" s="186">
        <v>929497</v>
      </c>
      <c r="O76" s="186">
        <v>18999</v>
      </c>
      <c r="P76" s="186">
        <v>29261</v>
      </c>
      <c r="Q76" s="186">
        <v>0</v>
      </c>
      <c r="R76" s="186">
        <v>0</v>
      </c>
      <c r="S76" s="186">
        <v>-78610</v>
      </c>
      <c r="T76" s="186">
        <v>46500</v>
      </c>
      <c r="U76" s="186">
        <v>0</v>
      </c>
      <c r="V76" s="186">
        <v>0</v>
      </c>
      <c r="W76" s="186">
        <v>-9587</v>
      </c>
      <c r="X76" s="186">
        <v>0</v>
      </c>
      <c r="Y76" s="186">
        <v>69023</v>
      </c>
      <c r="Z76" s="186">
        <v>0</v>
      </c>
      <c r="AA76" s="186">
        <v>0</v>
      </c>
      <c r="AB76" s="186">
        <v>-9587</v>
      </c>
      <c r="AC76" s="186">
        <v>-9587</v>
      </c>
      <c r="AD76" s="186">
        <v>-9587</v>
      </c>
      <c r="AE76" s="186">
        <v>-9587</v>
      </c>
      <c r="AF76" s="186">
        <v>-9587</v>
      </c>
      <c r="AG76" s="186">
        <v>-21088</v>
      </c>
      <c r="AH76" s="187">
        <v>8.1999999999999993</v>
      </c>
      <c r="AK76" s="196"/>
    </row>
    <row r="77" spans="2:37">
      <c r="B77" s="185" t="s">
        <v>302</v>
      </c>
      <c r="C77" s="186">
        <v>66</v>
      </c>
      <c r="D77" s="186">
        <v>16</v>
      </c>
      <c r="E77" s="186">
        <v>294</v>
      </c>
      <c r="F77" s="186">
        <v>927661</v>
      </c>
      <c r="G77" s="186">
        <v>998159</v>
      </c>
      <c r="H77" s="186">
        <v>44223</v>
      </c>
      <c r="I77" s="186">
        <v>3419.4923589999999</v>
      </c>
      <c r="J77" s="186">
        <v>-77371</v>
      </c>
      <c r="K77" s="186">
        <v>1067577</v>
      </c>
      <c r="L77" s="186">
        <v>812623</v>
      </c>
      <c r="M77" s="186">
        <v>927661</v>
      </c>
      <c r="N77" s="186">
        <v>927661</v>
      </c>
      <c r="O77" s="186">
        <v>24023</v>
      </c>
      <c r="P77" s="186">
        <v>29302</v>
      </c>
      <c r="Q77" s="186">
        <v>0</v>
      </c>
      <c r="R77" s="186">
        <v>0</v>
      </c>
      <c r="S77" s="186">
        <v>-86473</v>
      </c>
      <c r="T77" s="186">
        <v>37350</v>
      </c>
      <c r="U77" s="186">
        <v>0</v>
      </c>
      <c r="V77" s="186">
        <v>0</v>
      </c>
      <c r="W77" s="186">
        <v>-9102</v>
      </c>
      <c r="X77" s="186">
        <v>0</v>
      </c>
      <c r="Y77" s="186">
        <v>77371</v>
      </c>
      <c r="Z77" s="186">
        <v>0</v>
      </c>
      <c r="AA77" s="186">
        <v>0</v>
      </c>
      <c r="AB77" s="186">
        <v>-9102</v>
      </c>
      <c r="AC77" s="186">
        <v>-9102</v>
      </c>
      <c r="AD77" s="186">
        <v>-9102</v>
      </c>
      <c r="AE77" s="186">
        <v>-9102</v>
      </c>
      <c r="AF77" s="186">
        <v>-9102</v>
      </c>
      <c r="AG77" s="186">
        <v>-31861</v>
      </c>
      <c r="AH77" s="187">
        <v>9.5</v>
      </c>
      <c r="AK77" s="182"/>
    </row>
    <row r="78" spans="2:37">
      <c r="B78" s="185" t="s">
        <v>303</v>
      </c>
      <c r="C78" s="186">
        <v>68</v>
      </c>
      <c r="D78" s="186">
        <v>22</v>
      </c>
      <c r="E78" s="186">
        <v>208</v>
      </c>
      <c r="F78" s="186">
        <v>809927</v>
      </c>
      <c r="G78" s="186">
        <v>876811</v>
      </c>
      <c r="H78" s="186">
        <v>33828</v>
      </c>
      <c r="I78" s="186">
        <v>2431.2227009999997</v>
      </c>
      <c r="J78" s="186">
        <v>-63812</v>
      </c>
      <c r="K78" s="186">
        <v>926593</v>
      </c>
      <c r="L78" s="186">
        <v>714078</v>
      </c>
      <c r="M78" s="186">
        <v>809927</v>
      </c>
      <c r="N78" s="186">
        <v>809927</v>
      </c>
      <c r="O78" s="186">
        <v>16464</v>
      </c>
      <c r="P78" s="186">
        <v>25545</v>
      </c>
      <c r="Q78" s="186">
        <v>0</v>
      </c>
      <c r="R78" s="186">
        <v>0</v>
      </c>
      <c r="S78" s="186">
        <v>-71993</v>
      </c>
      <c r="T78" s="186">
        <v>36900</v>
      </c>
      <c r="U78" s="186">
        <v>0</v>
      </c>
      <c r="V78" s="186">
        <v>0</v>
      </c>
      <c r="W78" s="186">
        <v>-8181</v>
      </c>
      <c r="X78" s="186">
        <v>0</v>
      </c>
      <c r="Y78" s="186">
        <v>63812</v>
      </c>
      <c r="Z78" s="186">
        <v>0</v>
      </c>
      <c r="AA78" s="186">
        <v>0</v>
      </c>
      <c r="AB78" s="186">
        <v>-8181</v>
      </c>
      <c r="AC78" s="186">
        <v>-8181</v>
      </c>
      <c r="AD78" s="186">
        <v>-8181</v>
      </c>
      <c r="AE78" s="186">
        <v>-8181</v>
      </c>
      <c r="AF78" s="186">
        <v>-8181</v>
      </c>
      <c r="AG78" s="186">
        <v>-22907</v>
      </c>
      <c r="AH78" s="187">
        <v>8.8000000000000007</v>
      </c>
    </row>
    <row r="79" spans="2:37">
      <c r="B79" s="185" t="s">
        <v>304</v>
      </c>
      <c r="C79" s="186">
        <v>55</v>
      </c>
      <c r="D79" s="186">
        <v>14</v>
      </c>
      <c r="E79" s="186">
        <v>415</v>
      </c>
      <c r="F79" s="186">
        <v>2487657</v>
      </c>
      <c r="G79" s="186">
        <v>2590384</v>
      </c>
      <c r="H79" s="186">
        <v>178981</v>
      </c>
      <c r="I79" s="186">
        <v>4443.4227810000002</v>
      </c>
      <c r="J79" s="186">
        <v>-212482</v>
      </c>
      <c r="K79" s="186">
        <v>2871310</v>
      </c>
      <c r="L79" s="186">
        <v>2167698</v>
      </c>
      <c r="M79" s="186">
        <v>2487657</v>
      </c>
      <c r="N79" s="186">
        <v>2487657</v>
      </c>
      <c r="O79" s="186">
        <v>125681</v>
      </c>
      <c r="P79" s="186">
        <v>78298</v>
      </c>
      <c r="Q79" s="186">
        <v>0</v>
      </c>
      <c r="R79" s="186">
        <v>0</v>
      </c>
      <c r="S79" s="186">
        <v>-237480</v>
      </c>
      <c r="T79" s="186">
        <v>69226</v>
      </c>
      <c r="U79" s="186">
        <v>0</v>
      </c>
      <c r="V79" s="186">
        <v>0</v>
      </c>
      <c r="W79" s="186">
        <v>-24998</v>
      </c>
      <c r="X79" s="186">
        <v>0</v>
      </c>
      <c r="Y79" s="186">
        <v>212482</v>
      </c>
      <c r="Z79" s="186">
        <v>0</v>
      </c>
      <c r="AA79" s="186">
        <v>0</v>
      </c>
      <c r="AB79" s="186">
        <v>-24998</v>
      </c>
      <c r="AC79" s="186">
        <v>-24998</v>
      </c>
      <c r="AD79" s="186">
        <v>-24998</v>
      </c>
      <c r="AE79" s="186">
        <v>-24998</v>
      </c>
      <c r="AF79" s="186">
        <v>-24998</v>
      </c>
      <c r="AG79" s="186">
        <v>-87492</v>
      </c>
      <c r="AH79" s="187">
        <v>9.5</v>
      </c>
    </row>
    <row r="80" spans="2:37">
      <c r="B80" s="185" t="s">
        <v>305</v>
      </c>
      <c r="C80" s="186">
        <v>0</v>
      </c>
      <c r="D80" s="186">
        <v>0</v>
      </c>
      <c r="E80" s="186">
        <v>0</v>
      </c>
      <c r="F80" s="186">
        <v>0</v>
      </c>
      <c r="G80" s="186">
        <v>0</v>
      </c>
      <c r="H80" s="186">
        <v>0</v>
      </c>
      <c r="I80" s="186">
        <v>0</v>
      </c>
      <c r="J80" s="186">
        <v>0</v>
      </c>
      <c r="K80" s="186">
        <v>0</v>
      </c>
      <c r="L80" s="186">
        <v>0</v>
      </c>
      <c r="M80" s="186">
        <v>0</v>
      </c>
      <c r="N80" s="186">
        <v>0</v>
      </c>
      <c r="O80" s="186">
        <v>0</v>
      </c>
      <c r="P80" s="186">
        <v>0</v>
      </c>
      <c r="Q80" s="186">
        <v>0</v>
      </c>
      <c r="R80" s="186">
        <v>0</v>
      </c>
      <c r="S80" s="186">
        <v>0</v>
      </c>
      <c r="T80" s="186">
        <v>0</v>
      </c>
      <c r="U80" s="186">
        <v>0</v>
      </c>
      <c r="V80" s="186">
        <v>0</v>
      </c>
      <c r="W80" s="186">
        <v>0</v>
      </c>
      <c r="X80" s="186">
        <v>0</v>
      </c>
      <c r="Y80" s="186">
        <v>0</v>
      </c>
      <c r="Z80" s="186">
        <v>0</v>
      </c>
      <c r="AA80" s="186">
        <v>0</v>
      </c>
      <c r="AB80" s="186">
        <v>0</v>
      </c>
      <c r="AC80" s="186">
        <v>0</v>
      </c>
      <c r="AD80" s="186">
        <v>0</v>
      </c>
      <c r="AE80" s="186">
        <v>0</v>
      </c>
      <c r="AF80" s="186">
        <v>0</v>
      </c>
      <c r="AG80" s="186">
        <v>0</v>
      </c>
      <c r="AH80" s="187">
        <v>1</v>
      </c>
    </row>
    <row r="81" spans="2:34">
      <c r="B81" s="185" t="s">
        <v>306</v>
      </c>
      <c r="C81" s="186">
        <v>19</v>
      </c>
      <c r="D81" s="186">
        <v>9</v>
      </c>
      <c r="E81" s="186">
        <v>98</v>
      </c>
      <c r="F81" s="186">
        <v>329989</v>
      </c>
      <c r="G81" s="186">
        <v>353974</v>
      </c>
      <c r="H81" s="186">
        <v>14793</v>
      </c>
      <c r="I81" s="186">
        <v>1024.8635140000001</v>
      </c>
      <c r="J81" s="186">
        <v>-28128</v>
      </c>
      <c r="K81" s="186">
        <v>381493</v>
      </c>
      <c r="L81" s="186">
        <v>287895</v>
      </c>
      <c r="M81" s="186">
        <v>329989</v>
      </c>
      <c r="N81" s="186">
        <v>329989</v>
      </c>
      <c r="O81" s="186">
        <v>7985</v>
      </c>
      <c r="P81" s="186">
        <v>10414</v>
      </c>
      <c r="Q81" s="186">
        <v>0</v>
      </c>
      <c r="R81" s="186">
        <v>0</v>
      </c>
      <c r="S81" s="186">
        <v>-31734</v>
      </c>
      <c r="T81" s="186">
        <v>10650</v>
      </c>
      <c r="U81" s="186">
        <v>0</v>
      </c>
      <c r="V81" s="186">
        <v>0</v>
      </c>
      <c r="W81" s="186">
        <v>-3606</v>
      </c>
      <c r="X81" s="186">
        <v>0</v>
      </c>
      <c r="Y81" s="186">
        <v>28128</v>
      </c>
      <c r="Z81" s="186">
        <v>0</v>
      </c>
      <c r="AA81" s="186">
        <v>0</v>
      </c>
      <c r="AB81" s="186">
        <v>-3606</v>
      </c>
      <c r="AC81" s="186">
        <v>-3606</v>
      </c>
      <c r="AD81" s="186">
        <v>-3606</v>
      </c>
      <c r="AE81" s="186">
        <v>-3606</v>
      </c>
      <c r="AF81" s="186">
        <v>-3606</v>
      </c>
      <c r="AG81" s="186">
        <v>-10098</v>
      </c>
      <c r="AH81" s="187">
        <v>8.8000000000000007</v>
      </c>
    </row>
    <row r="82" spans="2:34">
      <c r="B82" s="185" t="s">
        <v>307</v>
      </c>
      <c r="C82" s="186">
        <v>61</v>
      </c>
      <c r="D82" s="186">
        <v>11</v>
      </c>
      <c r="E82" s="186">
        <v>173</v>
      </c>
      <c r="F82" s="186">
        <v>1241354</v>
      </c>
      <c r="G82" s="186">
        <v>1349341</v>
      </c>
      <c r="H82" s="186">
        <v>44477</v>
      </c>
      <c r="I82" s="186">
        <v>1836.3305600000015</v>
      </c>
      <c r="J82" s="186">
        <v>-84664</v>
      </c>
      <c r="K82" s="186">
        <v>1398499</v>
      </c>
      <c r="L82" s="186">
        <v>1110358</v>
      </c>
      <c r="M82" s="186">
        <v>1241354</v>
      </c>
      <c r="N82" s="186">
        <v>1241354</v>
      </c>
      <c r="O82" s="186">
        <v>17992</v>
      </c>
      <c r="P82" s="186">
        <v>38936</v>
      </c>
      <c r="Q82" s="186">
        <v>0</v>
      </c>
      <c r="R82" s="186">
        <v>0</v>
      </c>
      <c r="S82" s="186">
        <v>-97115</v>
      </c>
      <c r="T82" s="186">
        <v>67800</v>
      </c>
      <c r="U82" s="186">
        <v>0</v>
      </c>
      <c r="V82" s="186">
        <v>0</v>
      </c>
      <c r="W82" s="186">
        <v>-12451</v>
      </c>
      <c r="X82" s="186">
        <v>0</v>
      </c>
      <c r="Y82" s="186">
        <v>84664</v>
      </c>
      <c r="Z82" s="186">
        <v>0</v>
      </c>
      <c r="AA82" s="186">
        <v>0</v>
      </c>
      <c r="AB82" s="186">
        <v>-12451</v>
      </c>
      <c r="AC82" s="186">
        <v>-12451</v>
      </c>
      <c r="AD82" s="186">
        <v>-12451</v>
      </c>
      <c r="AE82" s="186">
        <v>-12451</v>
      </c>
      <c r="AF82" s="186">
        <v>-12451</v>
      </c>
      <c r="AG82" s="186">
        <v>-22409</v>
      </c>
      <c r="AH82" s="187">
        <v>7.8</v>
      </c>
    </row>
    <row r="83" spans="2:34">
      <c r="B83" s="185" t="s">
        <v>308</v>
      </c>
      <c r="C83" s="186">
        <v>66</v>
      </c>
      <c r="D83" s="186">
        <v>18</v>
      </c>
      <c r="E83" s="186">
        <v>220</v>
      </c>
      <c r="F83" s="186">
        <v>831740</v>
      </c>
      <c r="G83" s="186">
        <v>900084</v>
      </c>
      <c r="H83" s="186">
        <v>35464</v>
      </c>
      <c r="I83" s="186">
        <v>2488.5100989999992</v>
      </c>
      <c r="J83" s="186">
        <v>-68108</v>
      </c>
      <c r="K83" s="186">
        <v>956512</v>
      </c>
      <c r="L83" s="186">
        <v>729308</v>
      </c>
      <c r="M83" s="186">
        <v>831740</v>
      </c>
      <c r="N83" s="186">
        <v>831740</v>
      </c>
      <c r="O83" s="186">
        <v>18022</v>
      </c>
      <c r="P83" s="186">
        <v>26287</v>
      </c>
      <c r="Q83" s="186">
        <v>0</v>
      </c>
      <c r="R83" s="186">
        <v>0</v>
      </c>
      <c r="S83" s="186">
        <v>-76953</v>
      </c>
      <c r="T83" s="186">
        <v>35700</v>
      </c>
      <c r="U83" s="186">
        <v>0</v>
      </c>
      <c r="V83" s="186">
        <v>0</v>
      </c>
      <c r="W83" s="186">
        <v>-8845</v>
      </c>
      <c r="X83" s="186">
        <v>0</v>
      </c>
      <c r="Y83" s="186">
        <v>68108</v>
      </c>
      <c r="Z83" s="186">
        <v>0</v>
      </c>
      <c r="AA83" s="186">
        <v>0</v>
      </c>
      <c r="AB83" s="186">
        <v>-8845</v>
      </c>
      <c r="AC83" s="186">
        <v>-8845</v>
      </c>
      <c r="AD83" s="186">
        <v>-8845</v>
      </c>
      <c r="AE83" s="186">
        <v>-8845</v>
      </c>
      <c r="AF83" s="186">
        <v>-8845</v>
      </c>
      <c r="AG83" s="186">
        <v>-23883</v>
      </c>
      <c r="AH83" s="187">
        <v>8.6999999999999993</v>
      </c>
    </row>
    <row r="84" spans="2:34">
      <c r="B84" s="185" t="s">
        <v>309</v>
      </c>
      <c r="C84" s="186">
        <v>33</v>
      </c>
      <c r="D84" s="186">
        <v>13</v>
      </c>
      <c r="E84" s="186">
        <v>97</v>
      </c>
      <c r="F84" s="186">
        <v>433131</v>
      </c>
      <c r="G84" s="186">
        <v>469912</v>
      </c>
      <c r="H84" s="186">
        <v>16928</v>
      </c>
      <c r="I84" s="186">
        <v>1221.0025840000003</v>
      </c>
      <c r="J84" s="186">
        <v>-35259</v>
      </c>
      <c r="K84" s="186">
        <v>497138</v>
      </c>
      <c r="L84" s="186">
        <v>380764</v>
      </c>
      <c r="M84" s="186">
        <v>433131</v>
      </c>
      <c r="N84" s="186">
        <v>433131</v>
      </c>
      <c r="O84" s="186">
        <v>7456</v>
      </c>
      <c r="P84" s="186">
        <v>13670</v>
      </c>
      <c r="Q84" s="186">
        <v>0</v>
      </c>
      <c r="R84" s="186">
        <v>0</v>
      </c>
      <c r="S84" s="186">
        <v>-39457</v>
      </c>
      <c r="T84" s="186">
        <v>18450</v>
      </c>
      <c r="U84" s="186">
        <v>0</v>
      </c>
      <c r="V84" s="186">
        <v>0</v>
      </c>
      <c r="W84" s="186">
        <v>-4198</v>
      </c>
      <c r="X84" s="186">
        <v>0</v>
      </c>
      <c r="Y84" s="186">
        <v>35259</v>
      </c>
      <c r="Z84" s="186">
        <v>0</v>
      </c>
      <c r="AA84" s="186">
        <v>0</v>
      </c>
      <c r="AB84" s="186">
        <v>-4198</v>
      </c>
      <c r="AC84" s="186">
        <v>-4198</v>
      </c>
      <c r="AD84" s="186">
        <v>-4198</v>
      </c>
      <c r="AE84" s="186">
        <v>-4198</v>
      </c>
      <c r="AF84" s="186">
        <v>-4198</v>
      </c>
      <c r="AG84" s="186">
        <v>-14269</v>
      </c>
      <c r="AH84" s="187">
        <v>9.4</v>
      </c>
    </row>
    <row r="85" spans="2:34">
      <c r="B85" s="185" t="s">
        <v>310</v>
      </c>
      <c r="C85" s="186">
        <v>32</v>
      </c>
      <c r="D85" s="186">
        <v>12</v>
      </c>
      <c r="E85" s="186">
        <v>219</v>
      </c>
      <c r="F85" s="186">
        <v>1248653</v>
      </c>
      <c r="G85" s="186">
        <v>1333482</v>
      </c>
      <c r="H85" s="186">
        <v>59965</v>
      </c>
      <c r="I85" s="186">
        <v>2248.2478259999989</v>
      </c>
      <c r="J85" s="186">
        <v>-111194</v>
      </c>
      <c r="K85" s="186">
        <v>1452340</v>
      </c>
      <c r="L85" s="186">
        <v>1082319</v>
      </c>
      <c r="M85" s="186">
        <v>1248653</v>
      </c>
      <c r="N85" s="186">
        <v>1248653</v>
      </c>
      <c r="O85" s="186">
        <v>34412</v>
      </c>
      <c r="P85" s="186">
        <v>39452</v>
      </c>
      <c r="Q85" s="186">
        <v>0</v>
      </c>
      <c r="R85" s="186">
        <v>0</v>
      </c>
      <c r="S85" s="186">
        <v>-125093</v>
      </c>
      <c r="T85" s="186">
        <v>33600</v>
      </c>
      <c r="U85" s="186">
        <v>0</v>
      </c>
      <c r="V85" s="186">
        <v>0</v>
      </c>
      <c r="W85" s="186">
        <v>-13899</v>
      </c>
      <c r="X85" s="186">
        <v>0</v>
      </c>
      <c r="Y85" s="186">
        <v>111194</v>
      </c>
      <c r="Z85" s="186">
        <v>0</v>
      </c>
      <c r="AA85" s="186">
        <v>0</v>
      </c>
      <c r="AB85" s="186">
        <v>-13899</v>
      </c>
      <c r="AC85" s="186">
        <v>-13899</v>
      </c>
      <c r="AD85" s="186">
        <v>-13899</v>
      </c>
      <c r="AE85" s="186">
        <v>-13899</v>
      </c>
      <c r="AF85" s="186">
        <v>-13899</v>
      </c>
      <c r="AG85" s="186">
        <v>-41699</v>
      </c>
      <c r="AH85" s="187">
        <v>9</v>
      </c>
    </row>
    <row r="86" spans="2:34">
      <c r="B86" s="185" t="s">
        <v>311</v>
      </c>
      <c r="C86" s="186">
        <v>299</v>
      </c>
      <c r="D86" s="186">
        <v>149</v>
      </c>
      <c r="E86" s="186">
        <v>921</v>
      </c>
      <c r="F86" s="186">
        <v>3899545</v>
      </c>
      <c r="G86" s="186">
        <v>4204530</v>
      </c>
      <c r="H86" s="186">
        <v>158031</v>
      </c>
      <c r="I86" s="186">
        <v>10096.987918000004</v>
      </c>
      <c r="J86" s="186">
        <v>-306716</v>
      </c>
      <c r="K86" s="186">
        <v>4464516</v>
      </c>
      <c r="L86" s="186">
        <v>3434670</v>
      </c>
      <c r="M86" s="186">
        <v>3899545</v>
      </c>
      <c r="N86" s="186">
        <v>3899545</v>
      </c>
      <c r="O86" s="186">
        <v>77300</v>
      </c>
      <c r="P86" s="186">
        <v>122747</v>
      </c>
      <c r="Q86" s="186">
        <v>0</v>
      </c>
      <c r="R86" s="186">
        <v>0</v>
      </c>
      <c r="S86" s="186">
        <v>-348732</v>
      </c>
      <c r="T86" s="186">
        <v>156300</v>
      </c>
      <c r="U86" s="186">
        <v>0</v>
      </c>
      <c r="V86" s="186">
        <v>0</v>
      </c>
      <c r="W86" s="186">
        <v>-42016</v>
      </c>
      <c r="X86" s="186">
        <v>0</v>
      </c>
      <c r="Y86" s="186">
        <v>306716</v>
      </c>
      <c r="Z86" s="186">
        <v>0</v>
      </c>
      <c r="AA86" s="186">
        <v>0</v>
      </c>
      <c r="AB86" s="186">
        <v>-42016</v>
      </c>
      <c r="AC86" s="186">
        <v>-42016</v>
      </c>
      <c r="AD86" s="186">
        <v>-42016</v>
      </c>
      <c r="AE86" s="186">
        <v>-42016</v>
      </c>
      <c r="AF86" s="186">
        <v>-42016</v>
      </c>
      <c r="AG86" s="186">
        <v>-96636</v>
      </c>
      <c r="AH86" s="187">
        <v>8.3000000000000007</v>
      </c>
    </row>
    <row r="87" spans="2:34">
      <c r="B87" s="185" t="s">
        <v>312</v>
      </c>
      <c r="C87" s="186">
        <v>119</v>
      </c>
      <c r="D87" s="186">
        <v>71</v>
      </c>
      <c r="E87" s="186">
        <v>511</v>
      </c>
      <c r="F87" s="186">
        <v>1697247</v>
      </c>
      <c r="G87" s="186">
        <v>1825203</v>
      </c>
      <c r="H87" s="186">
        <v>77604</v>
      </c>
      <c r="I87" s="186">
        <v>5912.9308419999998</v>
      </c>
      <c r="J87" s="186">
        <v>-143610</v>
      </c>
      <c r="K87" s="186">
        <v>1958291</v>
      </c>
      <c r="L87" s="186">
        <v>1483403</v>
      </c>
      <c r="M87" s="186">
        <v>1697247</v>
      </c>
      <c r="N87" s="186">
        <v>1697247</v>
      </c>
      <c r="O87" s="186">
        <v>41108</v>
      </c>
      <c r="P87" s="186">
        <v>53592</v>
      </c>
      <c r="Q87" s="186">
        <v>0</v>
      </c>
      <c r="R87" s="186">
        <v>0</v>
      </c>
      <c r="S87" s="186">
        <v>-160706</v>
      </c>
      <c r="T87" s="186">
        <v>61950</v>
      </c>
      <c r="U87" s="186">
        <v>0</v>
      </c>
      <c r="V87" s="186">
        <v>0</v>
      </c>
      <c r="W87" s="186">
        <v>-17096</v>
      </c>
      <c r="X87" s="186">
        <v>0</v>
      </c>
      <c r="Y87" s="186">
        <v>143610</v>
      </c>
      <c r="Z87" s="186">
        <v>0</v>
      </c>
      <c r="AA87" s="186">
        <v>0</v>
      </c>
      <c r="AB87" s="186">
        <v>-17096</v>
      </c>
      <c r="AC87" s="186">
        <v>-17096</v>
      </c>
      <c r="AD87" s="186">
        <v>-17096</v>
      </c>
      <c r="AE87" s="186">
        <v>-17096</v>
      </c>
      <c r="AF87" s="186">
        <v>-17096</v>
      </c>
      <c r="AG87" s="186">
        <v>-58130</v>
      </c>
      <c r="AH87" s="187">
        <v>9.4</v>
      </c>
    </row>
    <row r="88" spans="2:34">
      <c r="B88" s="185" t="s">
        <v>313</v>
      </c>
      <c r="C88" s="186">
        <v>88</v>
      </c>
      <c r="D88" s="186">
        <v>113</v>
      </c>
      <c r="E88" s="186">
        <v>619</v>
      </c>
      <c r="F88" s="186">
        <v>2026611</v>
      </c>
      <c r="G88" s="186">
        <v>2156737</v>
      </c>
      <c r="H88" s="186">
        <v>97093</v>
      </c>
      <c r="I88" s="186">
        <v>6617.4145479999961</v>
      </c>
      <c r="J88" s="186">
        <v>-182069</v>
      </c>
      <c r="K88" s="186">
        <v>2357433</v>
      </c>
      <c r="L88" s="186">
        <v>1756301</v>
      </c>
      <c r="M88" s="186">
        <v>2026611</v>
      </c>
      <c r="N88" s="186">
        <v>2026611</v>
      </c>
      <c r="O88" s="186">
        <v>54849</v>
      </c>
      <c r="P88" s="186">
        <v>63919</v>
      </c>
      <c r="Q88" s="186">
        <v>0</v>
      </c>
      <c r="R88" s="186">
        <v>0</v>
      </c>
      <c r="S88" s="186">
        <v>-203744</v>
      </c>
      <c r="T88" s="186">
        <v>45150</v>
      </c>
      <c r="U88" s="186">
        <v>0</v>
      </c>
      <c r="V88" s="186">
        <v>0</v>
      </c>
      <c r="W88" s="186">
        <v>-21675</v>
      </c>
      <c r="X88" s="186">
        <v>0</v>
      </c>
      <c r="Y88" s="186">
        <v>182069</v>
      </c>
      <c r="Z88" s="186">
        <v>0</v>
      </c>
      <c r="AA88" s="186">
        <v>0</v>
      </c>
      <c r="AB88" s="186">
        <v>-21675</v>
      </c>
      <c r="AC88" s="186">
        <v>-21675</v>
      </c>
      <c r="AD88" s="186">
        <v>-21675</v>
      </c>
      <c r="AE88" s="186">
        <v>-21675</v>
      </c>
      <c r="AF88" s="186">
        <v>-21675</v>
      </c>
      <c r="AG88" s="186">
        <v>-73694</v>
      </c>
      <c r="AH88" s="187">
        <v>9.4</v>
      </c>
    </row>
    <row r="89" spans="2:34">
      <c r="B89" s="185" t="s">
        <v>314</v>
      </c>
      <c r="C89" s="186">
        <v>0</v>
      </c>
      <c r="D89" s="186">
        <v>0</v>
      </c>
      <c r="E89" s="186">
        <v>0</v>
      </c>
      <c r="F89" s="186">
        <v>0</v>
      </c>
      <c r="G89" s="186">
        <v>0</v>
      </c>
      <c r="H89" s="186">
        <v>0</v>
      </c>
      <c r="I89" s="186">
        <v>0</v>
      </c>
      <c r="J89" s="186">
        <v>0</v>
      </c>
      <c r="K89" s="186">
        <v>0</v>
      </c>
      <c r="L89" s="186">
        <v>0</v>
      </c>
      <c r="M89" s="186">
        <v>0</v>
      </c>
      <c r="N89" s="186">
        <v>0</v>
      </c>
      <c r="O89" s="186">
        <v>0</v>
      </c>
      <c r="P89" s="186">
        <v>0</v>
      </c>
      <c r="Q89" s="186">
        <v>0</v>
      </c>
      <c r="R89" s="186">
        <v>0</v>
      </c>
      <c r="S89" s="186">
        <v>0</v>
      </c>
      <c r="T89" s="186">
        <v>0</v>
      </c>
      <c r="U89" s="186">
        <v>0</v>
      </c>
      <c r="V89" s="186">
        <v>0</v>
      </c>
      <c r="W89" s="186">
        <v>0</v>
      </c>
      <c r="X89" s="186">
        <v>0</v>
      </c>
      <c r="Y89" s="186">
        <v>0</v>
      </c>
      <c r="Z89" s="186">
        <v>0</v>
      </c>
      <c r="AA89" s="186">
        <v>0</v>
      </c>
      <c r="AB89" s="186">
        <v>0</v>
      </c>
      <c r="AC89" s="186">
        <v>0</v>
      </c>
      <c r="AD89" s="186">
        <v>0</v>
      </c>
      <c r="AE89" s="186">
        <v>0</v>
      </c>
      <c r="AF89" s="186">
        <v>0</v>
      </c>
      <c r="AG89" s="186">
        <v>0</v>
      </c>
      <c r="AH89" s="187">
        <v>1</v>
      </c>
    </row>
    <row r="90" spans="2:34">
      <c r="B90" s="185" t="s">
        <v>315</v>
      </c>
      <c r="C90" s="186">
        <v>277</v>
      </c>
      <c r="D90" s="186">
        <v>84</v>
      </c>
      <c r="E90" s="186">
        <v>880</v>
      </c>
      <c r="F90" s="186">
        <v>27543782</v>
      </c>
      <c r="G90" s="186">
        <v>28168327</v>
      </c>
      <c r="H90" s="186">
        <v>2656783</v>
      </c>
      <c r="I90" s="186">
        <v>9505.8903970000028</v>
      </c>
      <c r="J90" s="186">
        <v>-2792368</v>
      </c>
      <c r="K90" s="186">
        <v>32688288</v>
      </c>
      <c r="L90" s="186">
        <v>23304503</v>
      </c>
      <c r="M90" s="186">
        <v>22338714</v>
      </c>
      <c r="N90" s="186">
        <v>34487183</v>
      </c>
      <c r="O90" s="186">
        <v>2165989</v>
      </c>
      <c r="P90" s="186">
        <v>878623</v>
      </c>
      <c r="Q90" s="186">
        <v>0</v>
      </c>
      <c r="R90" s="186">
        <v>0</v>
      </c>
      <c r="S90" s="186">
        <v>-3180197</v>
      </c>
      <c r="T90" s="186">
        <v>488960</v>
      </c>
      <c r="U90" s="186">
        <v>0</v>
      </c>
      <c r="V90" s="186">
        <v>0</v>
      </c>
      <c r="W90" s="186">
        <v>-387829</v>
      </c>
      <c r="X90" s="186">
        <v>0</v>
      </c>
      <c r="Y90" s="186">
        <v>2792368</v>
      </c>
      <c r="Z90" s="186">
        <v>0</v>
      </c>
      <c r="AA90" s="186">
        <v>0</v>
      </c>
      <c r="AB90" s="186">
        <v>-387829</v>
      </c>
      <c r="AC90" s="186">
        <v>-387829</v>
      </c>
      <c r="AD90" s="186">
        <v>-387829</v>
      </c>
      <c r="AE90" s="186">
        <v>-387829</v>
      </c>
      <c r="AF90" s="186">
        <v>-387829</v>
      </c>
      <c r="AG90" s="186">
        <v>-853223</v>
      </c>
      <c r="AH90" s="187">
        <v>8.1999999999999993</v>
      </c>
    </row>
    <row r="91" spans="2:34">
      <c r="B91" s="185" t="s">
        <v>316</v>
      </c>
      <c r="C91" s="186">
        <v>0</v>
      </c>
      <c r="D91" s="186">
        <v>0</v>
      </c>
      <c r="E91" s="186">
        <v>48</v>
      </c>
      <c r="F91" s="186">
        <v>13179</v>
      </c>
      <c r="G91" s="186">
        <v>13454</v>
      </c>
      <c r="H91" s="186">
        <v>2174</v>
      </c>
      <c r="I91" s="186">
        <v>754.46539699999983</v>
      </c>
      <c r="J91" s="186">
        <v>-2449</v>
      </c>
      <c r="K91" s="186">
        <v>17495</v>
      </c>
      <c r="L91" s="186">
        <v>9937</v>
      </c>
      <c r="M91" s="186">
        <v>13179</v>
      </c>
      <c r="N91" s="186">
        <v>13179</v>
      </c>
      <c r="O91" s="186">
        <v>1893</v>
      </c>
      <c r="P91" s="186">
        <v>448</v>
      </c>
      <c r="Q91" s="186">
        <v>0</v>
      </c>
      <c r="R91" s="186">
        <v>0</v>
      </c>
      <c r="S91" s="186">
        <v>-2616</v>
      </c>
      <c r="T91" s="186">
        <v>0</v>
      </c>
      <c r="U91" s="186">
        <v>0</v>
      </c>
      <c r="V91" s="186">
        <v>0</v>
      </c>
      <c r="W91" s="186">
        <v>-167</v>
      </c>
      <c r="X91" s="186">
        <v>0</v>
      </c>
      <c r="Y91" s="186">
        <v>2449</v>
      </c>
      <c r="Z91" s="186">
        <v>0</v>
      </c>
      <c r="AA91" s="186">
        <v>0</v>
      </c>
      <c r="AB91" s="186">
        <v>-167</v>
      </c>
      <c r="AC91" s="186">
        <v>-167</v>
      </c>
      <c r="AD91" s="186">
        <v>-167</v>
      </c>
      <c r="AE91" s="186">
        <v>-167</v>
      </c>
      <c r="AF91" s="186">
        <v>-167</v>
      </c>
      <c r="AG91" s="186">
        <v>-1614</v>
      </c>
      <c r="AH91" s="187">
        <v>15.7</v>
      </c>
    </row>
    <row r="92" spans="2:34">
      <c r="B92" s="185" t="s">
        <v>456</v>
      </c>
      <c r="C92" s="186">
        <v>0</v>
      </c>
      <c r="D92" s="186">
        <v>0</v>
      </c>
      <c r="E92" s="186">
        <v>49</v>
      </c>
      <c r="F92" s="186">
        <v>3362</v>
      </c>
      <c r="G92" s="186">
        <v>2685</v>
      </c>
      <c r="H92" s="186">
        <v>1552</v>
      </c>
      <c r="I92" s="186">
        <v>781.68562799999984</v>
      </c>
      <c r="J92" s="186">
        <v>-875</v>
      </c>
      <c r="K92" s="186">
        <v>4780</v>
      </c>
      <c r="L92" s="186">
        <v>2527</v>
      </c>
      <c r="M92" s="186">
        <v>3362</v>
      </c>
      <c r="N92" s="186">
        <v>3362</v>
      </c>
      <c r="O92" s="186">
        <v>1488</v>
      </c>
      <c r="P92" s="186">
        <v>122</v>
      </c>
      <c r="Q92" s="186">
        <v>0</v>
      </c>
      <c r="R92" s="186">
        <v>0</v>
      </c>
      <c r="S92" s="186">
        <v>-933</v>
      </c>
      <c r="T92" s="186">
        <v>0</v>
      </c>
      <c r="U92" s="186">
        <v>0</v>
      </c>
      <c r="V92" s="186">
        <v>0</v>
      </c>
      <c r="W92" s="186">
        <v>-58</v>
      </c>
      <c r="X92" s="186">
        <v>0</v>
      </c>
      <c r="Y92" s="186">
        <v>875</v>
      </c>
      <c r="Z92" s="186">
        <v>0</v>
      </c>
      <c r="AA92" s="186">
        <v>0</v>
      </c>
      <c r="AB92" s="186">
        <v>-58</v>
      </c>
      <c r="AC92" s="186">
        <v>-58</v>
      </c>
      <c r="AD92" s="186">
        <v>-58</v>
      </c>
      <c r="AE92" s="186">
        <v>-58</v>
      </c>
      <c r="AF92" s="186">
        <v>-58</v>
      </c>
      <c r="AG92" s="186">
        <v>-585</v>
      </c>
      <c r="AH92" s="187">
        <v>16</v>
      </c>
    </row>
    <row r="93" spans="2:34">
      <c r="B93" s="185" t="s">
        <v>317</v>
      </c>
      <c r="C93" s="186">
        <v>954</v>
      </c>
      <c r="D93" s="186">
        <v>598</v>
      </c>
      <c r="E93" s="186">
        <v>4709</v>
      </c>
      <c r="F93" s="186">
        <v>14201792</v>
      </c>
      <c r="G93" s="186">
        <v>15237557</v>
      </c>
      <c r="H93" s="186">
        <v>668305</v>
      </c>
      <c r="I93" s="186">
        <v>56841.238166999981</v>
      </c>
      <c r="J93" s="186">
        <v>-1204420</v>
      </c>
      <c r="K93" s="186">
        <v>16371289</v>
      </c>
      <c r="L93" s="186">
        <v>12425621</v>
      </c>
      <c r="M93" s="186">
        <v>14201792</v>
      </c>
      <c r="N93" s="186">
        <v>14201792</v>
      </c>
      <c r="O93" s="186">
        <v>354147</v>
      </c>
      <c r="P93" s="186">
        <v>447983</v>
      </c>
      <c r="Q93" s="186">
        <v>0</v>
      </c>
      <c r="R93" s="186">
        <v>0</v>
      </c>
      <c r="S93" s="186">
        <v>-1338245</v>
      </c>
      <c r="T93" s="186">
        <v>499650</v>
      </c>
      <c r="U93" s="186">
        <v>0</v>
      </c>
      <c r="V93" s="186">
        <v>0</v>
      </c>
      <c r="W93" s="186">
        <v>-133825</v>
      </c>
      <c r="X93" s="186">
        <v>0</v>
      </c>
      <c r="Y93" s="186">
        <v>1204420</v>
      </c>
      <c r="Z93" s="186">
        <v>0</v>
      </c>
      <c r="AA93" s="186">
        <v>0</v>
      </c>
      <c r="AB93" s="186">
        <v>-133825</v>
      </c>
      <c r="AC93" s="186">
        <v>-133825</v>
      </c>
      <c r="AD93" s="186">
        <v>-133825</v>
      </c>
      <c r="AE93" s="186">
        <v>-133825</v>
      </c>
      <c r="AF93" s="186">
        <v>-133825</v>
      </c>
      <c r="AG93" s="186">
        <v>-535295</v>
      </c>
      <c r="AH93" s="187">
        <v>10</v>
      </c>
    </row>
    <row r="94" spans="2:34">
      <c r="B94" s="185" t="s">
        <v>318</v>
      </c>
      <c r="C94" s="186">
        <v>30</v>
      </c>
      <c r="D94" s="186">
        <v>5</v>
      </c>
      <c r="E94" s="186">
        <v>80</v>
      </c>
      <c r="F94" s="186">
        <v>304733</v>
      </c>
      <c r="G94" s="186">
        <v>330518</v>
      </c>
      <c r="H94" s="186">
        <v>12970</v>
      </c>
      <c r="I94" s="186">
        <v>961.56759499999964</v>
      </c>
      <c r="J94" s="186">
        <v>-22405</v>
      </c>
      <c r="K94" s="186">
        <v>345620</v>
      </c>
      <c r="L94" s="186">
        <v>270848</v>
      </c>
      <c r="M94" s="186">
        <v>304733</v>
      </c>
      <c r="N94" s="186">
        <v>304733</v>
      </c>
      <c r="O94" s="186">
        <v>6284</v>
      </c>
      <c r="P94" s="186">
        <v>9596</v>
      </c>
      <c r="Q94" s="186">
        <v>0</v>
      </c>
      <c r="R94" s="186">
        <v>0</v>
      </c>
      <c r="S94" s="186">
        <v>-25315</v>
      </c>
      <c r="T94" s="186">
        <v>16350</v>
      </c>
      <c r="U94" s="186">
        <v>0</v>
      </c>
      <c r="V94" s="186">
        <v>0</v>
      </c>
      <c r="W94" s="186">
        <v>-2910</v>
      </c>
      <c r="X94" s="186">
        <v>0</v>
      </c>
      <c r="Y94" s="186">
        <v>22405</v>
      </c>
      <c r="Z94" s="186">
        <v>0</v>
      </c>
      <c r="AA94" s="186">
        <v>0</v>
      </c>
      <c r="AB94" s="186">
        <v>-2910</v>
      </c>
      <c r="AC94" s="186">
        <v>-2910</v>
      </c>
      <c r="AD94" s="186">
        <v>-2910</v>
      </c>
      <c r="AE94" s="186">
        <v>-2910</v>
      </c>
      <c r="AF94" s="186">
        <v>-2910</v>
      </c>
      <c r="AG94" s="186">
        <v>-7855</v>
      </c>
      <c r="AH94" s="187">
        <v>8.6999999999999993</v>
      </c>
    </row>
    <row r="95" spans="2:34">
      <c r="B95" s="185" t="s">
        <v>457</v>
      </c>
      <c r="C95" s="186">
        <v>0</v>
      </c>
      <c r="D95" s="186">
        <v>2</v>
      </c>
      <c r="E95" s="186">
        <v>51</v>
      </c>
      <c r="F95" s="186">
        <v>87720</v>
      </c>
      <c r="G95" s="186">
        <v>92801</v>
      </c>
      <c r="H95" s="186">
        <v>6044</v>
      </c>
      <c r="I95" s="186">
        <v>559.98979400000007</v>
      </c>
      <c r="J95" s="186">
        <v>-11125</v>
      </c>
      <c r="K95" s="186">
        <v>107625</v>
      </c>
      <c r="L95" s="186">
        <v>71984</v>
      </c>
      <c r="M95" s="186">
        <v>87720</v>
      </c>
      <c r="N95" s="186">
        <v>87720</v>
      </c>
      <c r="O95" s="186">
        <v>4321</v>
      </c>
      <c r="P95" s="186">
        <v>2836</v>
      </c>
      <c r="Q95" s="186">
        <v>0</v>
      </c>
      <c r="R95" s="186">
        <v>0</v>
      </c>
      <c r="S95" s="186">
        <v>-12238</v>
      </c>
      <c r="T95" s="186">
        <v>0</v>
      </c>
      <c r="U95" s="186">
        <v>0</v>
      </c>
      <c r="V95" s="186">
        <v>0</v>
      </c>
      <c r="W95" s="186">
        <v>-1113</v>
      </c>
      <c r="X95" s="186">
        <v>0</v>
      </c>
      <c r="Y95" s="186">
        <v>11125</v>
      </c>
      <c r="Z95" s="186">
        <v>0</v>
      </c>
      <c r="AA95" s="186">
        <v>0</v>
      </c>
      <c r="AB95" s="186">
        <v>-1113</v>
      </c>
      <c r="AC95" s="186">
        <v>-1113</v>
      </c>
      <c r="AD95" s="186">
        <v>-1113</v>
      </c>
      <c r="AE95" s="186">
        <v>-1113</v>
      </c>
      <c r="AF95" s="186">
        <v>-1113</v>
      </c>
      <c r="AG95" s="186">
        <v>-5560</v>
      </c>
      <c r="AH95" s="187">
        <v>11</v>
      </c>
    </row>
    <row r="96" spans="2:34">
      <c r="B96" s="185" t="s">
        <v>319</v>
      </c>
      <c r="C96" s="186">
        <v>82</v>
      </c>
      <c r="D96" s="186">
        <v>19</v>
      </c>
      <c r="E96" s="186">
        <v>304</v>
      </c>
      <c r="F96" s="186">
        <v>1079384</v>
      </c>
      <c r="G96" s="186">
        <v>1163077</v>
      </c>
      <c r="H96" s="186">
        <v>48531</v>
      </c>
      <c r="I96" s="186">
        <v>3401.3351569999982</v>
      </c>
      <c r="J96" s="186">
        <v>-86474</v>
      </c>
      <c r="K96" s="186">
        <v>1237721</v>
      </c>
      <c r="L96" s="186">
        <v>948942</v>
      </c>
      <c r="M96" s="186">
        <v>1079384</v>
      </c>
      <c r="N96" s="186">
        <v>1079384</v>
      </c>
      <c r="O96" s="186">
        <v>25576</v>
      </c>
      <c r="P96" s="186">
        <v>34041</v>
      </c>
      <c r="Q96" s="186">
        <v>0</v>
      </c>
      <c r="R96" s="186">
        <v>0</v>
      </c>
      <c r="S96" s="186">
        <v>-97560</v>
      </c>
      <c r="T96" s="186">
        <v>45750</v>
      </c>
      <c r="U96" s="186">
        <v>0</v>
      </c>
      <c r="V96" s="186">
        <v>0</v>
      </c>
      <c r="W96" s="186">
        <v>-11086</v>
      </c>
      <c r="X96" s="186">
        <v>0</v>
      </c>
      <c r="Y96" s="186">
        <v>86474</v>
      </c>
      <c r="Z96" s="186">
        <v>0</v>
      </c>
      <c r="AA96" s="186">
        <v>0</v>
      </c>
      <c r="AB96" s="186">
        <v>-11086</v>
      </c>
      <c r="AC96" s="186">
        <v>-11086</v>
      </c>
      <c r="AD96" s="186">
        <v>-11086</v>
      </c>
      <c r="AE96" s="186">
        <v>-11086</v>
      </c>
      <c r="AF96" s="186">
        <v>-11086</v>
      </c>
      <c r="AG96" s="186">
        <v>-31044</v>
      </c>
      <c r="AH96" s="187">
        <v>8.8000000000000007</v>
      </c>
    </row>
    <row r="97" spans="2:34">
      <c r="B97" s="185" t="s">
        <v>320</v>
      </c>
      <c r="C97" s="186">
        <v>152</v>
      </c>
      <c r="D97" s="186">
        <v>71</v>
      </c>
      <c r="E97" s="186">
        <v>476</v>
      </c>
      <c r="F97" s="186">
        <v>2073345</v>
      </c>
      <c r="G97" s="186">
        <v>2239643</v>
      </c>
      <c r="H97" s="186">
        <v>82972</v>
      </c>
      <c r="I97" s="186">
        <v>5398.0156370000004</v>
      </c>
      <c r="J97" s="186">
        <v>-165420</v>
      </c>
      <c r="K97" s="186">
        <v>2376717</v>
      </c>
      <c r="L97" s="186">
        <v>1824143</v>
      </c>
      <c r="M97" s="186">
        <v>2073345</v>
      </c>
      <c r="N97" s="186">
        <v>2073345</v>
      </c>
      <c r="O97" s="186">
        <v>39414</v>
      </c>
      <c r="P97" s="186">
        <v>65324</v>
      </c>
      <c r="Q97" s="186">
        <v>0</v>
      </c>
      <c r="R97" s="186">
        <v>0</v>
      </c>
      <c r="S97" s="186">
        <v>-187186</v>
      </c>
      <c r="T97" s="186">
        <v>83850</v>
      </c>
      <c r="U97" s="186">
        <v>0</v>
      </c>
      <c r="V97" s="186">
        <v>0</v>
      </c>
      <c r="W97" s="186">
        <v>-21766</v>
      </c>
      <c r="X97" s="186">
        <v>0</v>
      </c>
      <c r="Y97" s="186">
        <v>165420</v>
      </c>
      <c r="Z97" s="186">
        <v>0</v>
      </c>
      <c r="AA97" s="186">
        <v>0</v>
      </c>
      <c r="AB97" s="186">
        <v>-21766</v>
      </c>
      <c r="AC97" s="186">
        <v>-21766</v>
      </c>
      <c r="AD97" s="186">
        <v>-21766</v>
      </c>
      <c r="AE97" s="186">
        <v>-21766</v>
      </c>
      <c r="AF97" s="186">
        <v>-21766</v>
      </c>
      <c r="AG97" s="186">
        <v>-56590</v>
      </c>
      <c r="AH97" s="187">
        <v>8.6</v>
      </c>
    </row>
    <row r="98" spans="2:34">
      <c r="B98" s="185" t="s">
        <v>321</v>
      </c>
      <c r="C98" s="186">
        <v>0</v>
      </c>
      <c r="D98" s="186">
        <v>0</v>
      </c>
      <c r="E98" s="186">
        <v>0</v>
      </c>
      <c r="F98" s="186">
        <v>0</v>
      </c>
      <c r="G98" s="186">
        <v>0</v>
      </c>
      <c r="H98" s="186">
        <v>0</v>
      </c>
      <c r="I98" s="186">
        <v>0</v>
      </c>
      <c r="J98" s="186">
        <v>0</v>
      </c>
      <c r="K98" s="186">
        <v>0</v>
      </c>
      <c r="L98" s="186">
        <v>0</v>
      </c>
      <c r="M98" s="186">
        <v>0</v>
      </c>
      <c r="N98" s="186">
        <v>0</v>
      </c>
      <c r="O98" s="186">
        <v>0</v>
      </c>
      <c r="P98" s="186">
        <v>0</v>
      </c>
      <c r="Q98" s="186">
        <v>0</v>
      </c>
      <c r="R98" s="186">
        <v>0</v>
      </c>
      <c r="S98" s="186">
        <v>0</v>
      </c>
      <c r="T98" s="186">
        <v>0</v>
      </c>
      <c r="U98" s="186">
        <v>0</v>
      </c>
      <c r="V98" s="186">
        <v>0</v>
      </c>
      <c r="W98" s="186">
        <v>0</v>
      </c>
      <c r="X98" s="186">
        <v>0</v>
      </c>
      <c r="Y98" s="186">
        <v>0</v>
      </c>
      <c r="Z98" s="186">
        <v>0</v>
      </c>
      <c r="AA98" s="186">
        <v>0</v>
      </c>
      <c r="AB98" s="186">
        <v>0</v>
      </c>
      <c r="AC98" s="186">
        <v>0</v>
      </c>
      <c r="AD98" s="186">
        <v>0</v>
      </c>
      <c r="AE98" s="186">
        <v>0</v>
      </c>
      <c r="AF98" s="186">
        <v>0</v>
      </c>
      <c r="AG98" s="186">
        <v>0</v>
      </c>
      <c r="AH98" s="187">
        <v>1</v>
      </c>
    </row>
    <row r="99" spans="2:34">
      <c r="B99" s="185" t="s">
        <v>322</v>
      </c>
      <c r="C99" s="186">
        <v>51</v>
      </c>
      <c r="D99" s="186">
        <v>22</v>
      </c>
      <c r="E99" s="186">
        <v>243</v>
      </c>
      <c r="F99" s="186">
        <v>694199</v>
      </c>
      <c r="G99" s="186">
        <v>750798</v>
      </c>
      <c r="H99" s="186">
        <v>33567</v>
      </c>
      <c r="I99" s="186">
        <v>2976.0380350000009</v>
      </c>
      <c r="J99" s="186">
        <v>-62716</v>
      </c>
      <c r="K99" s="186">
        <v>807232</v>
      </c>
      <c r="L99" s="186">
        <v>602326</v>
      </c>
      <c r="M99" s="186">
        <v>694199</v>
      </c>
      <c r="N99" s="186">
        <v>694199</v>
      </c>
      <c r="O99" s="186">
        <v>18399</v>
      </c>
      <c r="P99" s="186">
        <v>22060</v>
      </c>
      <c r="Q99" s="186">
        <v>0</v>
      </c>
      <c r="R99" s="186">
        <v>0</v>
      </c>
      <c r="S99" s="186">
        <v>-69608</v>
      </c>
      <c r="T99" s="186">
        <v>27450</v>
      </c>
      <c r="U99" s="186">
        <v>0</v>
      </c>
      <c r="V99" s="186">
        <v>0</v>
      </c>
      <c r="W99" s="186">
        <v>-6892</v>
      </c>
      <c r="X99" s="186">
        <v>0</v>
      </c>
      <c r="Y99" s="186">
        <v>62716</v>
      </c>
      <c r="Z99" s="186">
        <v>0</v>
      </c>
      <c r="AA99" s="186">
        <v>0</v>
      </c>
      <c r="AB99" s="186">
        <v>-6892</v>
      </c>
      <c r="AC99" s="186">
        <v>-6892</v>
      </c>
      <c r="AD99" s="186">
        <v>-6892</v>
      </c>
      <c r="AE99" s="186">
        <v>-6892</v>
      </c>
      <c r="AF99" s="186">
        <v>-6892</v>
      </c>
      <c r="AG99" s="186">
        <v>-28256</v>
      </c>
      <c r="AH99" s="187">
        <v>10.1</v>
      </c>
    </row>
    <row r="100" spans="2:34">
      <c r="B100" s="185" t="s">
        <v>323</v>
      </c>
      <c r="C100" s="186">
        <v>36</v>
      </c>
      <c r="D100" s="186">
        <v>19</v>
      </c>
      <c r="E100" s="186">
        <v>142</v>
      </c>
      <c r="F100" s="186">
        <v>477769</v>
      </c>
      <c r="G100" s="186">
        <v>515673</v>
      </c>
      <c r="H100" s="186">
        <v>20652</v>
      </c>
      <c r="I100" s="186">
        <v>1659.6562139999996</v>
      </c>
      <c r="J100" s="186">
        <v>-39056</v>
      </c>
      <c r="K100" s="186">
        <v>548840</v>
      </c>
      <c r="L100" s="186">
        <v>419419</v>
      </c>
      <c r="M100" s="186">
        <v>477769</v>
      </c>
      <c r="N100" s="186">
        <v>477769</v>
      </c>
      <c r="O100" s="186">
        <v>10285</v>
      </c>
      <c r="P100" s="186">
        <v>15073</v>
      </c>
      <c r="Q100" s="186">
        <v>0</v>
      </c>
      <c r="R100" s="186">
        <v>0</v>
      </c>
      <c r="S100" s="186">
        <v>-43762</v>
      </c>
      <c r="T100" s="186">
        <v>19500</v>
      </c>
      <c r="U100" s="186">
        <v>0</v>
      </c>
      <c r="V100" s="186">
        <v>0</v>
      </c>
      <c r="W100" s="186">
        <v>-4706</v>
      </c>
      <c r="X100" s="186">
        <v>0</v>
      </c>
      <c r="Y100" s="186">
        <v>39056</v>
      </c>
      <c r="Z100" s="186">
        <v>0</v>
      </c>
      <c r="AA100" s="186">
        <v>0</v>
      </c>
      <c r="AB100" s="186">
        <v>-4706</v>
      </c>
      <c r="AC100" s="186">
        <v>-4706</v>
      </c>
      <c r="AD100" s="186">
        <v>-4706</v>
      </c>
      <c r="AE100" s="186">
        <v>-4706</v>
      </c>
      <c r="AF100" s="186">
        <v>-4706</v>
      </c>
      <c r="AG100" s="186">
        <v>-15526</v>
      </c>
      <c r="AH100" s="187">
        <v>9.3000000000000007</v>
      </c>
    </row>
    <row r="101" spans="2:34">
      <c r="B101" s="185" t="s">
        <v>324</v>
      </c>
      <c r="C101" s="186">
        <v>32</v>
      </c>
      <c r="D101" s="186">
        <v>6</v>
      </c>
      <c r="E101" s="186">
        <v>127</v>
      </c>
      <c r="F101" s="186">
        <v>439348</v>
      </c>
      <c r="G101" s="186">
        <v>472921</v>
      </c>
      <c r="H101" s="186">
        <v>20255</v>
      </c>
      <c r="I101" s="186">
        <v>1410.092503000001</v>
      </c>
      <c r="J101" s="186">
        <v>-36428</v>
      </c>
      <c r="K101" s="186">
        <v>505899</v>
      </c>
      <c r="L101" s="186">
        <v>384552</v>
      </c>
      <c r="M101" s="186">
        <v>439348</v>
      </c>
      <c r="N101" s="186">
        <v>439348</v>
      </c>
      <c r="O101" s="186">
        <v>10990</v>
      </c>
      <c r="P101" s="186">
        <v>13876</v>
      </c>
      <c r="Q101" s="186">
        <v>0</v>
      </c>
      <c r="R101" s="186">
        <v>0</v>
      </c>
      <c r="S101" s="186">
        <v>-41039</v>
      </c>
      <c r="T101" s="186">
        <v>17400</v>
      </c>
      <c r="U101" s="186">
        <v>0</v>
      </c>
      <c r="V101" s="186">
        <v>0</v>
      </c>
      <c r="W101" s="186">
        <v>-4611</v>
      </c>
      <c r="X101" s="186">
        <v>0</v>
      </c>
      <c r="Y101" s="186">
        <v>36428</v>
      </c>
      <c r="Z101" s="186">
        <v>0</v>
      </c>
      <c r="AA101" s="186">
        <v>0</v>
      </c>
      <c r="AB101" s="186">
        <v>-4611</v>
      </c>
      <c r="AC101" s="186">
        <v>-4611</v>
      </c>
      <c r="AD101" s="186">
        <v>-4611</v>
      </c>
      <c r="AE101" s="186">
        <v>-4611</v>
      </c>
      <c r="AF101" s="186">
        <v>-4611</v>
      </c>
      <c r="AG101" s="186">
        <v>-13373</v>
      </c>
      <c r="AH101" s="187">
        <v>8.9</v>
      </c>
    </row>
    <row r="102" spans="2:34">
      <c r="B102" s="185" t="s">
        <v>325</v>
      </c>
      <c r="C102" s="186">
        <v>27</v>
      </c>
      <c r="D102" s="186">
        <v>7</v>
      </c>
      <c r="E102" s="186">
        <v>74</v>
      </c>
      <c r="F102" s="186">
        <v>333076</v>
      </c>
      <c r="G102" s="186">
        <v>359242</v>
      </c>
      <c r="H102" s="186">
        <v>13520</v>
      </c>
      <c r="I102" s="186">
        <v>875.73179400000015</v>
      </c>
      <c r="J102" s="186">
        <v>-24536</v>
      </c>
      <c r="K102" s="186">
        <v>378017</v>
      </c>
      <c r="L102" s="186">
        <v>295615</v>
      </c>
      <c r="M102" s="186">
        <v>333076</v>
      </c>
      <c r="N102" s="186">
        <v>333076</v>
      </c>
      <c r="O102" s="186">
        <v>6256</v>
      </c>
      <c r="P102" s="186">
        <v>10451</v>
      </c>
      <c r="Q102" s="186">
        <v>0</v>
      </c>
      <c r="R102" s="186">
        <v>0</v>
      </c>
      <c r="S102" s="186">
        <v>-27723</v>
      </c>
      <c r="T102" s="186">
        <v>15150</v>
      </c>
      <c r="U102" s="186">
        <v>0</v>
      </c>
      <c r="V102" s="186">
        <v>0</v>
      </c>
      <c r="W102" s="186">
        <v>-3187</v>
      </c>
      <c r="X102" s="186">
        <v>0</v>
      </c>
      <c r="Y102" s="186">
        <v>24536</v>
      </c>
      <c r="Z102" s="186">
        <v>0</v>
      </c>
      <c r="AA102" s="186">
        <v>0</v>
      </c>
      <c r="AB102" s="186">
        <v>-3187</v>
      </c>
      <c r="AC102" s="186">
        <v>-3187</v>
      </c>
      <c r="AD102" s="186">
        <v>-3187</v>
      </c>
      <c r="AE102" s="186">
        <v>-3187</v>
      </c>
      <c r="AF102" s="186">
        <v>-3187</v>
      </c>
      <c r="AG102" s="186">
        <v>-8601</v>
      </c>
      <c r="AH102" s="187">
        <v>8.6999999999999993</v>
      </c>
    </row>
    <row r="103" spans="2:34">
      <c r="B103" s="185" t="s">
        <v>326</v>
      </c>
      <c r="C103" s="186">
        <v>0</v>
      </c>
      <c r="D103" s="186">
        <v>0</v>
      </c>
      <c r="E103" s="186">
        <v>1</v>
      </c>
      <c r="F103" s="186">
        <v>949</v>
      </c>
      <c r="G103" s="186">
        <v>972</v>
      </c>
      <c r="H103" s="186">
        <v>43</v>
      </c>
      <c r="I103" s="186">
        <v>3.0946850000000001</v>
      </c>
      <c r="J103" s="186">
        <v>-66</v>
      </c>
      <c r="K103" s="186">
        <v>1111</v>
      </c>
      <c r="L103" s="186">
        <v>820</v>
      </c>
      <c r="M103" s="186">
        <v>949</v>
      </c>
      <c r="N103" s="186">
        <v>949</v>
      </c>
      <c r="O103" s="186">
        <v>45</v>
      </c>
      <c r="P103" s="186">
        <v>30</v>
      </c>
      <c r="Q103" s="186">
        <v>0</v>
      </c>
      <c r="R103" s="186">
        <v>0</v>
      </c>
      <c r="S103" s="186">
        <v>-98</v>
      </c>
      <c r="T103" s="186">
        <v>0</v>
      </c>
      <c r="U103" s="186">
        <v>0</v>
      </c>
      <c r="V103" s="186">
        <v>0</v>
      </c>
      <c r="W103" s="186">
        <v>-32</v>
      </c>
      <c r="X103" s="186">
        <v>0</v>
      </c>
      <c r="Y103" s="186">
        <v>66</v>
      </c>
      <c r="Z103" s="186">
        <v>0</v>
      </c>
      <c r="AA103" s="186">
        <v>0</v>
      </c>
      <c r="AB103" s="186">
        <v>-32</v>
      </c>
      <c r="AC103" s="186">
        <v>-32</v>
      </c>
      <c r="AD103" s="186">
        <v>-2</v>
      </c>
      <c r="AE103" s="186">
        <v>0</v>
      </c>
      <c r="AF103" s="186">
        <v>0</v>
      </c>
      <c r="AG103" s="186">
        <v>0</v>
      </c>
      <c r="AH103" s="187">
        <v>3.1</v>
      </c>
    </row>
    <row r="104" spans="2:34">
      <c r="B104" s="185" t="s">
        <v>327</v>
      </c>
      <c r="C104" s="186">
        <v>67</v>
      </c>
      <c r="D104" s="186">
        <v>25</v>
      </c>
      <c r="E104" s="186">
        <v>270</v>
      </c>
      <c r="F104" s="186">
        <v>908538</v>
      </c>
      <c r="G104" s="186">
        <v>978783</v>
      </c>
      <c r="H104" s="186">
        <v>40514</v>
      </c>
      <c r="I104" s="186">
        <v>3084.5850489999989</v>
      </c>
      <c r="J104" s="186">
        <v>-75209</v>
      </c>
      <c r="K104" s="186">
        <v>1044899</v>
      </c>
      <c r="L104" s="186">
        <v>796393</v>
      </c>
      <c r="M104" s="186">
        <v>908538</v>
      </c>
      <c r="N104" s="186">
        <v>908538</v>
      </c>
      <c r="O104" s="186">
        <v>21011</v>
      </c>
      <c r="P104" s="186">
        <v>28675</v>
      </c>
      <c r="Q104" s="186">
        <v>0</v>
      </c>
      <c r="R104" s="186">
        <v>0</v>
      </c>
      <c r="S104" s="186">
        <v>-84381</v>
      </c>
      <c r="T104" s="186">
        <v>35550</v>
      </c>
      <c r="U104" s="186">
        <v>0</v>
      </c>
      <c r="V104" s="186">
        <v>0</v>
      </c>
      <c r="W104" s="186">
        <v>-9172</v>
      </c>
      <c r="X104" s="186">
        <v>0</v>
      </c>
      <c r="Y104" s="186">
        <v>75209</v>
      </c>
      <c r="Z104" s="186">
        <v>0</v>
      </c>
      <c r="AA104" s="186">
        <v>0</v>
      </c>
      <c r="AB104" s="186">
        <v>-9172</v>
      </c>
      <c r="AC104" s="186">
        <v>-9172</v>
      </c>
      <c r="AD104" s="186">
        <v>-9172</v>
      </c>
      <c r="AE104" s="186">
        <v>-9172</v>
      </c>
      <c r="AF104" s="186">
        <v>-9172</v>
      </c>
      <c r="AG104" s="186">
        <v>-29349</v>
      </c>
      <c r="AH104" s="187">
        <v>9.1999999999999993</v>
      </c>
    </row>
    <row r="105" spans="2:34">
      <c r="B105" s="185" t="s">
        <v>328</v>
      </c>
      <c r="C105" s="186">
        <v>0</v>
      </c>
      <c r="D105" s="186">
        <v>1</v>
      </c>
      <c r="E105" s="186">
        <v>0</v>
      </c>
      <c r="F105" s="186">
        <v>5973</v>
      </c>
      <c r="G105" s="186">
        <v>6296</v>
      </c>
      <c r="H105" s="186">
        <v>-323</v>
      </c>
      <c r="I105" s="186">
        <v>0</v>
      </c>
      <c r="J105" s="186">
        <v>0</v>
      </c>
      <c r="K105" s="186">
        <v>6793</v>
      </c>
      <c r="L105" s="186">
        <v>5289</v>
      </c>
      <c r="M105" s="186">
        <v>5973</v>
      </c>
      <c r="N105" s="186">
        <v>5973</v>
      </c>
      <c r="O105" s="186">
        <v>0</v>
      </c>
      <c r="P105" s="186">
        <v>184</v>
      </c>
      <c r="Q105" s="186">
        <v>0</v>
      </c>
      <c r="R105" s="186">
        <v>0</v>
      </c>
      <c r="S105" s="186">
        <v>-507</v>
      </c>
      <c r="T105" s="186">
        <v>0</v>
      </c>
      <c r="U105" s="186">
        <v>0</v>
      </c>
      <c r="V105" s="186">
        <v>0</v>
      </c>
      <c r="W105" s="186">
        <v>-507</v>
      </c>
      <c r="X105" s="186">
        <v>0</v>
      </c>
      <c r="Y105" s="186">
        <v>0</v>
      </c>
      <c r="Z105" s="186">
        <v>0</v>
      </c>
      <c r="AA105" s="186">
        <v>0</v>
      </c>
      <c r="AB105" s="186">
        <v>0</v>
      </c>
      <c r="AC105" s="186">
        <v>0</v>
      </c>
      <c r="AD105" s="186">
        <v>0</v>
      </c>
      <c r="AE105" s="186">
        <v>0</v>
      </c>
      <c r="AF105" s="186">
        <v>0</v>
      </c>
      <c r="AG105" s="186">
        <v>0</v>
      </c>
      <c r="AH105" s="187">
        <v>1</v>
      </c>
    </row>
    <row r="106" spans="2:34">
      <c r="B106" s="185" t="s">
        <v>329</v>
      </c>
      <c r="C106" s="186">
        <v>74</v>
      </c>
      <c r="D106" s="186">
        <v>32</v>
      </c>
      <c r="E106" s="186">
        <v>339</v>
      </c>
      <c r="F106" s="186">
        <v>1050706</v>
      </c>
      <c r="G106" s="186">
        <v>1130858</v>
      </c>
      <c r="H106" s="186">
        <v>48428</v>
      </c>
      <c r="I106" s="186">
        <v>4057.3343189999973</v>
      </c>
      <c r="J106" s="186">
        <v>-89280</v>
      </c>
      <c r="K106" s="186">
        <v>1212021</v>
      </c>
      <c r="L106" s="186">
        <v>918866</v>
      </c>
      <c r="M106" s="186">
        <v>1050706</v>
      </c>
      <c r="N106" s="186">
        <v>1050706</v>
      </c>
      <c r="O106" s="186">
        <v>25385</v>
      </c>
      <c r="P106" s="186">
        <v>33189</v>
      </c>
      <c r="Q106" s="186">
        <v>0</v>
      </c>
      <c r="R106" s="186">
        <v>0</v>
      </c>
      <c r="S106" s="186">
        <v>-99426</v>
      </c>
      <c r="T106" s="186">
        <v>39300</v>
      </c>
      <c r="U106" s="186">
        <v>0</v>
      </c>
      <c r="V106" s="186">
        <v>0</v>
      </c>
      <c r="W106" s="186">
        <v>-10146</v>
      </c>
      <c r="X106" s="186">
        <v>0</v>
      </c>
      <c r="Y106" s="186">
        <v>89280</v>
      </c>
      <c r="Z106" s="186">
        <v>0</v>
      </c>
      <c r="AA106" s="186">
        <v>0</v>
      </c>
      <c r="AB106" s="186">
        <v>-10146</v>
      </c>
      <c r="AC106" s="186">
        <v>-10146</v>
      </c>
      <c r="AD106" s="186">
        <v>-10146</v>
      </c>
      <c r="AE106" s="186">
        <v>-10146</v>
      </c>
      <c r="AF106" s="186">
        <v>-10146</v>
      </c>
      <c r="AG106" s="186">
        <v>-38550</v>
      </c>
      <c r="AH106" s="187">
        <v>9.8000000000000007</v>
      </c>
    </row>
    <row r="107" spans="2:34">
      <c r="B107" s="185" t="s">
        <v>330</v>
      </c>
      <c r="C107" s="186">
        <v>53</v>
      </c>
      <c r="D107" s="186">
        <v>24</v>
      </c>
      <c r="E107" s="186">
        <v>272</v>
      </c>
      <c r="F107" s="186">
        <v>878747</v>
      </c>
      <c r="G107" s="186">
        <v>947159</v>
      </c>
      <c r="H107" s="186">
        <v>40789</v>
      </c>
      <c r="I107" s="186">
        <v>3227.4500840000037</v>
      </c>
      <c r="J107" s="186">
        <v>-78751</v>
      </c>
      <c r="K107" s="186">
        <v>1020790</v>
      </c>
      <c r="L107" s="186">
        <v>763241</v>
      </c>
      <c r="M107" s="186">
        <v>878747</v>
      </c>
      <c r="N107" s="186">
        <v>878747</v>
      </c>
      <c r="O107" s="186">
        <v>21788</v>
      </c>
      <c r="P107" s="186">
        <v>27849</v>
      </c>
      <c r="Q107" s="186">
        <v>0</v>
      </c>
      <c r="R107" s="186">
        <v>0</v>
      </c>
      <c r="S107" s="186">
        <v>-87599</v>
      </c>
      <c r="T107" s="186">
        <v>30450</v>
      </c>
      <c r="U107" s="186">
        <v>0</v>
      </c>
      <c r="V107" s="186">
        <v>0</v>
      </c>
      <c r="W107" s="186">
        <v>-8848</v>
      </c>
      <c r="X107" s="186">
        <v>0</v>
      </c>
      <c r="Y107" s="186">
        <v>78751</v>
      </c>
      <c r="Z107" s="186">
        <v>0</v>
      </c>
      <c r="AA107" s="186">
        <v>0</v>
      </c>
      <c r="AB107" s="186">
        <v>-8848</v>
      </c>
      <c r="AC107" s="186">
        <v>-8848</v>
      </c>
      <c r="AD107" s="186">
        <v>-8848</v>
      </c>
      <c r="AE107" s="186">
        <v>-8848</v>
      </c>
      <c r="AF107" s="186">
        <v>-8848</v>
      </c>
      <c r="AG107" s="186">
        <v>-34511</v>
      </c>
      <c r="AH107" s="187">
        <v>9.9</v>
      </c>
    </row>
    <row r="108" spans="2:34">
      <c r="B108" s="185" t="s">
        <v>331</v>
      </c>
      <c r="C108" s="186">
        <v>38</v>
      </c>
      <c r="D108" s="186">
        <v>16</v>
      </c>
      <c r="E108" s="186">
        <v>104</v>
      </c>
      <c r="F108" s="186">
        <v>486932</v>
      </c>
      <c r="G108" s="186">
        <v>528271</v>
      </c>
      <c r="H108" s="186">
        <v>18873</v>
      </c>
      <c r="I108" s="186">
        <v>1229.7873649999999</v>
      </c>
      <c r="J108" s="186">
        <v>-38762</v>
      </c>
      <c r="K108" s="186">
        <v>557828</v>
      </c>
      <c r="L108" s="186">
        <v>428931</v>
      </c>
      <c r="M108" s="186">
        <v>486932</v>
      </c>
      <c r="N108" s="186">
        <v>486932</v>
      </c>
      <c r="O108" s="186">
        <v>8545</v>
      </c>
      <c r="P108" s="186">
        <v>15362</v>
      </c>
      <c r="Q108" s="186">
        <v>0</v>
      </c>
      <c r="R108" s="186">
        <v>0</v>
      </c>
      <c r="S108" s="186">
        <v>-43796</v>
      </c>
      <c r="T108" s="186">
        <v>21450</v>
      </c>
      <c r="U108" s="186">
        <v>0</v>
      </c>
      <c r="V108" s="186">
        <v>0</v>
      </c>
      <c r="W108" s="186">
        <v>-5034</v>
      </c>
      <c r="X108" s="186">
        <v>0</v>
      </c>
      <c r="Y108" s="186">
        <v>38762</v>
      </c>
      <c r="Z108" s="186">
        <v>0</v>
      </c>
      <c r="AA108" s="186">
        <v>0</v>
      </c>
      <c r="AB108" s="186">
        <v>-5034</v>
      </c>
      <c r="AC108" s="186">
        <v>-5034</v>
      </c>
      <c r="AD108" s="186">
        <v>-5034</v>
      </c>
      <c r="AE108" s="186">
        <v>-5034</v>
      </c>
      <c r="AF108" s="186">
        <v>-5034</v>
      </c>
      <c r="AG108" s="186">
        <v>-13592</v>
      </c>
      <c r="AH108" s="187">
        <v>8.6999999999999993</v>
      </c>
    </row>
    <row r="109" spans="2:34">
      <c r="B109" s="185" t="s">
        <v>332</v>
      </c>
      <c r="C109" s="186">
        <v>88</v>
      </c>
      <c r="D109" s="186">
        <v>32</v>
      </c>
      <c r="E109" s="186">
        <v>277</v>
      </c>
      <c r="F109" s="186">
        <v>1127850</v>
      </c>
      <c r="G109" s="186">
        <v>1216489</v>
      </c>
      <c r="H109" s="186">
        <v>47006</v>
      </c>
      <c r="I109" s="186">
        <v>3086.481746999998</v>
      </c>
      <c r="J109" s="186">
        <v>-87795</v>
      </c>
      <c r="K109" s="186">
        <v>1288893</v>
      </c>
      <c r="L109" s="186">
        <v>994985</v>
      </c>
      <c r="M109" s="186">
        <v>1127850</v>
      </c>
      <c r="N109" s="186">
        <v>1127850</v>
      </c>
      <c r="O109" s="186">
        <v>23211</v>
      </c>
      <c r="P109" s="186">
        <v>35501</v>
      </c>
      <c r="Q109" s="186">
        <v>0</v>
      </c>
      <c r="R109" s="186">
        <v>0</v>
      </c>
      <c r="S109" s="186">
        <v>-99501</v>
      </c>
      <c r="T109" s="186">
        <v>47850</v>
      </c>
      <c r="U109" s="186">
        <v>0</v>
      </c>
      <c r="V109" s="186">
        <v>0</v>
      </c>
      <c r="W109" s="186">
        <v>-11706</v>
      </c>
      <c r="X109" s="186">
        <v>0</v>
      </c>
      <c r="Y109" s="186">
        <v>87795</v>
      </c>
      <c r="Z109" s="186">
        <v>0</v>
      </c>
      <c r="AA109" s="186">
        <v>0</v>
      </c>
      <c r="AB109" s="186">
        <v>-11706</v>
      </c>
      <c r="AC109" s="186">
        <v>-11706</v>
      </c>
      <c r="AD109" s="186">
        <v>-11706</v>
      </c>
      <c r="AE109" s="186">
        <v>-11706</v>
      </c>
      <c r="AF109" s="186">
        <v>-11706</v>
      </c>
      <c r="AG109" s="186">
        <v>-29265</v>
      </c>
      <c r="AH109" s="187">
        <v>8.5</v>
      </c>
    </row>
    <row r="110" spans="2:34">
      <c r="B110" s="185" t="s">
        <v>333</v>
      </c>
      <c r="C110" s="186">
        <v>116</v>
      </c>
      <c r="D110" s="186">
        <v>37</v>
      </c>
      <c r="E110" s="186">
        <v>373</v>
      </c>
      <c r="F110" s="186">
        <v>1430684</v>
      </c>
      <c r="G110" s="186">
        <v>1548942</v>
      </c>
      <c r="H110" s="186">
        <v>59557</v>
      </c>
      <c r="I110" s="186">
        <v>4357.9528849999997</v>
      </c>
      <c r="J110" s="186">
        <v>-115415</v>
      </c>
      <c r="K110" s="186">
        <v>1641326</v>
      </c>
      <c r="L110" s="186">
        <v>1257769</v>
      </c>
      <c r="M110" s="186">
        <v>1430684</v>
      </c>
      <c r="N110" s="186">
        <v>1430684</v>
      </c>
      <c r="O110" s="186">
        <v>29002</v>
      </c>
      <c r="P110" s="186">
        <v>45165</v>
      </c>
      <c r="Q110" s="186">
        <v>0</v>
      </c>
      <c r="R110" s="186">
        <v>0</v>
      </c>
      <c r="S110" s="186">
        <v>-130025</v>
      </c>
      <c r="T110" s="186">
        <v>62400</v>
      </c>
      <c r="U110" s="186">
        <v>0</v>
      </c>
      <c r="V110" s="186">
        <v>0</v>
      </c>
      <c r="W110" s="186">
        <v>-14610</v>
      </c>
      <c r="X110" s="186">
        <v>0</v>
      </c>
      <c r="Y110" s="186">
        <v>115415</v>
      </c>
      <c r="Z110" s="186">
        <v>0</v>
      </c>
      <c r="AA110" s="186">
        <v>0</v>
      </c>
      <c r="AB110" s="186">
        <v>-14610</v>
      </c>
      <c r="AC110" s="186">
        <v>-14610</v>
      </c>
      <c r="AD110" s="186">
        <v>-14610</v>
      </c>
      <c r="AE110" s="186">
        <v>-14610</v>
      </c>
      <c r="AF110" s="186">
        <v>-14610</v>
      </c>
      <c r="AG110" s="186">
        <v>-42365</v>
      </c>
      <c r="AH110" s="187">
        <v>8.9</v>
      </c>
    </row>
    <row r="111" spans="2:34">
      <c r="B111" s="185" t="s">
        <v>334</v>
      </c>
      <c r="C111" s="186">
        <v>265</v>
      </c>
      <c r="D111" s="186">
        <v>164</v>
      </c>
      <c r="E111" s="186">
        <v>1362</v>
      </c>
      <c r="F111" s="186">
        <v>41573430</v>
      </c>
      <c r="G111" s="186">
        <v>42234340</v>
      </c>
      <c r="H111" s="186">
        <v>4204706</v>
      </c>
      <c r="I111" s="186">
        <v>14178.492494000031</v>
      </c>
      <c r="J111" s="186">
        <v>-4413895</v>
      </c>
      <c r="K111" s="186">
        <v>49652550</v>
      </c>
      <c r="L111" s="186">
        <v>34959608</v>
      </c>
      <c r="M111" s="186">
        <v>33483709</v>
      </c>
      <c r="N111" s="186">
        <v>52368879</v>
      </c>
      <c r="O111" s="186">
        <v>3450536</v>
      </c>
      <c r="P111" s="186">
        <v>1327403</v>
      </c>
      <c r="Q111" s="186">
        <v>0</v>
      </c>
      <c r="R111" s="186">
        <v>0</v>
      </c>
      <c r="S111" s="186">
        <v>-4987128</v>
      </c>
      <c r="T111" s="186">
        <v>451721</v>
      </c>
      <c r="U111" s="186">
        <v>0</v>
      </c>
      <c r="V111" s="186">
        <v>0</v>
      </c>
      <c r="W111" s="186">
        <v>-573233</v>
      </c>
      <c r="X111" s="186">
        <v>0</v>
      </c>
      <c r="Y111" s="186">
        <v>4413895</v>
      </c>
      <c r="Z111" s="186">
        <v>0</v>
      </c>
      <c r="AA111" s="186">
        <v>0</v>
      </c>
      <c r="AB111" s="186">
        <v>-573233</v>
      </c>
      <c r="AC111" s="186">
        <v>-573233</v>
      </c>
      <c r="AD111" s="186">
        <v>-573233</v>
      </c>
      <c r="AE111" s="186">
        <v>-573233</v>
      </c>
      <c r="AF111" s="186">
        <v>-573233</v>
      </c>
      <c r="AG111" s="186">
        <v>-1547730</v>
      </c>
      <c r="AH111" s="187">
        <v>8.6999999999999993</v>
      </c>
    </row>
    <row r="112" spans="2:34">
      <c r="B112" s="185" t="s">
        <v>335</v>
      </c>
      <c r="C112" s="186">
        <v>39</v>
      </c>
      <c r="D112" s="186">
        <v>5</v>
      </c>
      <c r="E112" s="186">
        <v>93</v>
      </c>
      <c r="F112" s="186">
        <v>374521</v>
      </c>
      <c r="G112" s="186">
        <v>408249</v>
      </c>
      <c r="H112" s="186">
        <v>15595</v>
      </c>
      <c r="I112" s="186">
        <v>1068.0324719999996</v>
      </c>
      <c r="J112" s="186">
        <v>-28773</v>
      </c>
      <c r="K112" s="186">
        <v>427885</v>
      </c>
      <c r="L112" s="186">
        <v>330585</v>
      </c>
      <c r="M112" s="186">
        <v>374521</v>
      </c>
      <c r="N112" s="186">
        <v>374521</v>
      </c>
      <c r="O112" s="186">
        <v>7799</v>
      </c>
      <c r="P112" s="186">
        <v>11849</v>
      </c>
      <c r="Q112" s="186">
        <v>0</v>
      </c>
      <c r="R112" s="186">
        <v>0</v>
      </c>
      <c r="S112" s="186">
        <v>-32826</v>
      </c>
      <c r="T112" s="186">
        <v>20550</v>
      </c>
      <c r="U112" s="186">
        <v>0</v>
      </c>
      <c r="V112" s="186">
        <v>0</v>
      </c>
      <c r="W112" s="186">
        <v>-4053</v>
      </c>
      <c r="X112" s="186">
        <v>0</v>
      </c>
      <c r="Y112" s="186">
        <v>28773</v>
      </c>
      <c r="Z112" s="186">
        <v>0</v>
      </c>
      <c r="AA112" s="186">
        <v>0</v>
      </c>
      <c r="AB112" s="186">
        <v>-4053</v>
      </c>
      <c r="AC112" s="186">
        <v>-4053</v>
      </c>
      <c r="AD112" s="186">
        <v>-4053</v>
      </c>
      <c r="AE112" s="186">
        <v>-4053</v>
      </c>
      <c r="AF112" s="186">
        <v>-4053</v>
      </c>
      <c r="AG112" s="186">
        <v>-8508</v>
      </c>
      <c r="AH112" s="187">
        <v>8.1</v>
      </c>
    </row>
    <row r="113" spans="2:34">
      <c r="B113" s="185" t="s">
        <v>336</v>
      </c>
      <c r="C113" s="186">
        <v>118</v>
      </c>
      <c r="D113" s="186">
        <v>40</v>
      </c>
      <c r="E113" s="186">
        <v>366</v>
      </c>
      <c r="F113" s="186">
        <v>1475070</v>
      </c>
      <c r="G113" s="186">
        <v>1591228</v>
      </c>
      <c r="H113" s="186">
        <v>62274</v>
      </c>
      <c r="I113" s="186">
        <v>4343.1649839999982</v>
      </c>
      <c r="J113" s="186">
        <v>-113932</v>
      </c>
      <c r="K113" s="186">
        <v>1682573</v>
      </c>
      <c r="L113" s="186">
        <v>1303827</v>
      </c>
      <c r="M113" s="186">
        <v>1475070</v>
      </c>
      <c r="N113" s="186">
        <v>1475070</v>
      </c>
      <c r="O113" s="186">
        <v>30114</v>
      </c>
      <c r="P113" s="186">
        <v>46401</v>
      </c>
      <c r="Q113" s="186">
        <v>0</v>
      </c>
      <c r="R113" s="186">
        <v>0</v>
      </c>
      <c r="S113" s="186">
        <v>-128173</v>
      </c>
      <c r="T113" s="186">
        <v>64500</v>
      </c>
      <c r="U113" s="186">
        <v>0</v>
      </c>
      <c r="V113" s="186">
        <v>0</v>
      </c>
      <c r="W113" s="186">
        <v>-14241</v>
      </c>
      <c r="X113" s="186">
        <v>0</v>
      </c>
      <c r="Y113" s="186">
        <v>113932</v>
      </c>
      <c r="Z113" s="186">
        <v>0</v>
      </c>
      <c r="AA113" s="186">
        <v>0</v>
      </c>
      <c r="AB113" s="186">
        <v>-14241</v>
      </c>
      <c r="AC113" s="186">
        <v>-14241</v>
      </c>
      <c r="AD113" s="186">
        <v>-14241</v>
      </c>
      <c r="AE113" s="186">
        <v>-14241</v>
      </c>
      <c r="AF113" s="186">
        <v>-14241</v>
      </c>
      <c r="AG113" s="186">
        <v>-42727</v>
      </c>
      <c r="AH113" s="187">
        <v>9</v>
      </c>
    </row>
    <row r="114" spans="2:34">
      <c r="B114" s="185" t="s">
        <v>337</v>
      </c>
      <c r="C114" s="186">
        <v>106</v>
      </c>
      <c r="D114" s="186">
        <v>24</v>
      </c>
      <c r="E114" s="186">
        <v>536</v>
      </c>
      <c r="F114" s="186">
        <v>15201488</v>
      </c>
      <c r="G114" s="186">
        <v>15362164</v>
      </c>
      <c r="H114" s="186">
        <v>1635241</v>
      </c>
      <c r="I114" s="186">
        <v>5705.0923760000051</v>
      </c>
      <c r="J114" s="186">
        <v>-1617217</v>
      </c>
      <c r="K114" s="186">
        <v>18144734</v>
      </c>
      <c r="L114" s="186">
        <v>12764054</v>
      </c>
      <c r="M114" s="186">
        <v>12101151</v>
      </c>
      <c r="N114" s="186">
        <v>19397808</v>
      </c>
      <c r="O114" s="186">
        <v>1354436</v>
      </c>
      <c r="P114" s="186">
        <v>485516</v>
      </c>
      <c r="Q114" s="186">
        <v>0</v>
      </c>
      <c r="R114" s="186">
        <v>0</v>
      </c>
      <c r="S114" s="186">
        <v>-1821928</v>
      </c>
      <c r="T114" s="186">
        <v>178700</v>
      </c>
      <c r="U114" s="186">
        <v>0</v>
      </c>
      <c r="V114" s="186">
        <v>0</v>
      </c>
      <c r="W114" s="186">
        <v>-204711</v>
      </c>
      <c r="X114" s="186">
        <v>0</v>
      </c>
      <c r="Y114" s="186">
        <v>1617217</v>
      </c>
      <c r="Z114" s="186">
        <v>0</v>
      </c>
      <c r="AA114" s="186">
        <v>0</v>
      </c>
      <c r="AB114" s="186">
        <v>-204711</v>
      </c>
      <c r="AC114" s="186">
        <v>-204711</v>
      </c>
      <c r="AD114" s="186">
        <v>-204711</v>
      </c>
      <c r="AE114" s="186">
        <v>-204711</v>
      </c>
      <c r="AF114" s="186">
        <v>-204711</v>
      </c>
      <c r="AG114" s="186">
        <v>-593662</v>
      </c>
      <c r="AH114" s="187">
        <v>8.9</v>
      </c>
    </row>
    <row r="115" spans="2:34">
      <c r="B115" s="185" t="s">
        <v>338</v>
      </c>
      <c r="C115" s="186">
        <v>23</v>
      </c>
      <c r="D115" s="186">
        <v>7</v>
      </c>
      <c r="E115" s="186">
        <v>130</v>
      </c>
      <c r="F115" s="186">
        <v>365802</v>
      </c>
      <c r="G115" s="186">
        <v>393335</v>
      </c>
      <c r="H115" s="186">
        <v>18336</v>
      </c>
      <c r="I115" s="186">
        <v>1571.1364910000004</v>
      </c>
      <c r="J115" s="186">
        <v>-32969</v>
      </c>
      <c r="K115" s="186">
        <v>425139</v>
      </c>
      <c r="L115" s="186">
        <v>317528</v>
      </c>
      <c r="M115" s="186">
        <v>365802</v>
      </c>
      <c r="N115" s="186">
        <v>365802</v>
      </c>
      <c r="O115" s="186">
        <v>10284</v>
      </c>
      <c r="P115" s="186">
        <v>11597</v>
      </c>
      <c r="Q115" s="186">
        <v>0</v>
      </c>
      <c r="R115" s="186">
        <v>0</v>
      </c>
      <c r="S115" s="186">
        <v>-36514</v>
      </c>
      <c r="T115" s="186">
        <v>12900</v>
      </c>
      <c r="U115" s="186">
        <v>0</v>
      </c>
      <c r="V115" s="186">
        <v>0</v>
      </c>
      <c r="W115" s="186">
        <v>-3545</v>
      </c>
      <c r="X115" s="186">
        <v>0</v>
      </c>
      <c r="Y115" s="186">
        <v>32969</v>
      </c>
      <c r="Z115" s="186">
        <v>0</v>
      </c>
      <c r="AA115" s="186">
        <v>0</v>
      </c>
      <c r="AB115" s="186">
        <v>-3545</v>
      </c>
      <c r="AC115" s="186">
        <v>-3545</v>
      </c>
      <c r="AD115" s="186">
        <v>-3545</v>
      </c>
      <c r="AE115" s="186">
        <v>-3545</v>
      </c>
      <c r="AF115" s="186">
        <v>-3545</v>
      </c>
      <c r="AG115" s="186">
        <v>-15244</v>
      </c>
      <c r="AH115" s="187">
        <v>10.3</v>
      </c>
    </row>
    <row r="116" spans="2:34">
      <c r="B116" s="185" t="s">
        <v>458</v>
      </c>
      <c r="C116" s="186">
        <v>0</v>
      </c>
      <c r="D116" s="186">
        <v>4</v>
      </c>
      <c r="E116" s="186">
        <v>55</v>
      </c>
      <c r="F116" s="186">
        <v>43982</v>
      </c>
      <c r="G116" s="186">
        <v>46563</v>
      </c>
      <c r="H116" s="186">
        <v>3796</v>
      </c>
      <c r="I116" s="186">
        <v>895.18395300000009</v>
      </c>
      <c r="J116" s="186">
        <v>-6377</v>
      </c>
      <c r="K116" s="186">
        <v>55075</v>
      </c>
      <c r="L116" s="186">
        <v>35549</v>
      </c>
      <c r="M116" s="186">
        <v>43982</v>
      </c>
      <c r="N116" s="186">
        <v>43982</v>
      </c>
      <c r="O116" s="186">
        <v>2772</v>
      </c>
      <c r="P116" s="186">
        <v>1441</v>
      </c>
      <c r="Q116" s="186">
        <v>0</v>
      </c>
      <c r="R116" s="186">
        <v>0</v>
      </c>
      <c r="S116" s="186">
        <v>-6794</v>
      </c>
      <c r="T116" s="186">
        <v>0</v>
      </c>
      <c r="U116" s="186">
        <v>0</v>
      </c>
      <c r="V116" s="186">
        <v>0</v>
      </c>
      <c r="W116" s="186">
        <v>-417</v>
      </c>
      <c r="X116" s="186">
        <v>0</v>
      </c>
      <c r="Y116" s="186">
        <v>6377</v>
      </c>
      <c r="Z116" s="186">
        <v>0</v>
      </c>
      <c r="AA116" s="186">
        <v>0</v>
      </c>
      <c r="AB116" s="186">
        <v>-417</v>
      </c>
      <c r="AC116" s="186">
        <v>-417</v>
      </c>
      <c r="AD116" s="186">
        <v>-417</v>
      </c>
      <c r="AE116" s="186">
        <v>-417</v>
      </c>
      <c r="AF116" s="186">
        <v>-417</v>
      </c>
      <c r="AG116" s="186">
        <v>-4292</v>
      </c>
      <c r="AH116" s="187">
        <v>16.3</v>
      </c>
    </row>
    <row r="117" spans="2:34">
      <c r="B117" s="185" t="s">
        <v>459</v>
      </c>
      <c r="C117" s="186">
        <v>0</v>
      </c>
      <c r="D117" s="186">
        <v>476</v>
      </c>
      <c r="E117" s="186">
        <v>67</v>
      </c>
      <c r="F117" s="186">
        <v>2327339</v>
      </c>
      <c r="G117" s="186">
        <v>2469439</v>
      </c>
      <c r="H117" s="186">
        <v>59553</v>
      </c>
      <c r="I117" s="186">
        <v>801.31799799999987</v>
      </c>
      <c r="J117" s="186">
        <v>-201653</v>
      </c>
      <c r="K117" s="186">
        <v>2684539</v>
      </c>
      <c r="L117" s="186">
        <v>2035272</v>
      </c>
      <c r="M117" s="186">
        <v>2327339</v>
      </c>
      <c r="N117" s="186">
        <v>2327339</v>
      </c>
      <c r="O117" s="186">
        <v>5613</v>
      </c>
      <c r="P117" s="186">
        <v>72272</v>
      </c>
      <c r="Q117" s="186">
        <v>0</v>
      </c>
      <c r="R117" s="186">
        <v>0</v>
      </c>
      <c r="S117" s="186">
        <v>-219985</v>
      </c>
      <c r="T117" s="186">
        <v>0</v>
      </c>
      <c r="U117" s="186">
        <v>0</v>
      </c>
      <c r="V117" s="186">
        <v>0</v>
      </c>
      <c r="W117" s="186">
        <v>-18332</v>
      </c>
      <c r="X117" s="186">
        <v>0</v>
      </c>
      <c r="Y117" s="186">
        <v>201653</v>
      </c>
      <c r="Z117" s="186">
        <v>0</v>
      </c>
      <c r="AA117" s="186">
        <v>0</v>
      </c>
      <c r="AB117" s="186">
        <v>-18332</v>
      </c>
      <c r="AC117" s="186">
        <v>-18332</v>
      </c>
      <c r="AD117" s="186">
        <v>-18332</v>
      </c>
      <c r="AE117" s="186">
        <v>-18332</v>
      </c>
      <c r="AF117" s="186">
        <v>-18332</v>
      </c>
      <c r="AG117" s="186">
        <v>-109993</v>
      </c>
      <c r="AH117" s="187">
        <v>12</v>
      </c>
    </row>
    <row r="118" spans="2:34">
      <c r="B118" s="185" t="s">
        <v>339</v>
      </c>
      <c r="C118" s="186">
        <v>45</v>
      </c>
      <c r="D118" s="186">
        <v>25</v>
      </c>
      <c r="E118" s="186">
        <v>153</v>
      </c>
      <c r="F118" s="186">
        <v>604475</v>
      </c>
      <c r="G118" s="186">
        <v>652157</v>
      </c>
      <c r="H118" s="186">
        <v>24753</v>
      </c>
      <c r="I118" s="186">
        <v>1811.0776170000013</v>
      </c>
      <c r="J118" s="186">
        <v>-48135</v>
      </c>
      <c r="K118" s="186">
        <v>692387</v>
      </c>
      <c r="L118" s="186">
        <v>532224</v>
      </c>
      <c r="M118" s="186">
        <v>604475</v>
      </c>
      <c r="N118" s="186">
        <v>604475</v>
      </c>
      <c r="O118" s="186">
        <v>11667</v>
      </c>
      <c r="P118" s="186">
        <v>19029</v>
      </c>
      <c r="Q118" s="186">
        <v>0</v>
      </c>
      <c r="R118" s="186">
        <v>0</v>
      </c>
      <c r="S118" s="186">
        <v>-54078</v>
      </c>
      <c r="T118" s="186">
        <v>24300</v>
      </c>
      <c r="U118" s="186">
        <v>0</v>
      </c>
      <c r="V118" s="186">
        <v>0</v>
      </c>
      <c r="W118" s="186">
        <v>-5943</v>
      </c>
      <c r="X118" s="186">
        <v>0</v>
      </c>
      <c r="Y118" s="186">
        <v>48135</v>
      </c>
      <c r="Z118" s="186">
        <v>0</v>
      </c>
      <c r="AA118" s="186">
        <v>0</v>
      </c>
      <c r="AB118" s="186">
        <v>-5943</v>
      </c>
      <c r="AC118" s="186">
        <v>-5943</v>
      </c>
      <c r="AD118" s="186">
        <v>-5943</v>
      </c>
      <c r="AE118" s="186">
        <v>-5943</v>
      </c>
      <c r="AF118" s="186">
        <v>-5943</v>
      </c>
      <c r="AG118" s="186">
        <v>-18420</v>
      </c>
      <c r="AH118" s="187">
        <v>9.1</v>
      </c>
    </row>
    <row r="119" spans="2:34">
      <c r="B119" s="185" t="s">
        <v>460</v>
      </c>
      <c r="C119" s="186">
        <v>0</v>
      </c>
      <c r="D119" s="186">
        <v>3</v>
      </c>
      <c r="E119" s="186">
        <v>154</v>
      </c>
      <c r="F119" s="186">
        <v>204583</v>
      </c>
      <c r="G119" s="186">
        <v>213055</v>
      </c>
      <c r="H119" s="186">
        <v>16304</v>
      </c>
      <c r="I119" s="186">
        <v>1799.3402450000001</v>
      </c>
      <c r="J119" s="186">
        <v>-24776</v>
      </c>
      <c r="K119" s="186">
        <v>248845</v>
      </c>
      <c r="L119" s="186">
        <v>169245</v>
      </c>
      <c r="M119" s="186">
        <v>204583</v>
      </c>
      <c r="N119" s="186">
        <v>204583</v>
      </c>
      <c r="O119" s="186">
        <v>12046</v>
      </c>
      <c r="P119" s="186">
        <v>6573</v>
      </c>
      <c r="Q119" s="186">
        <v>0</v>
      </c>
      <c r="R119" s="186">
        <v>0</v>
      </c>
      <c r="S119" s="186">
        <v>-27091</v>
      </c>
      <c r="T119" s="186">
        <v>0</v>
      </c>
      <c r="U119" s="186">
        <v>0</v>
      </c>
      <c r="V119" s="186">
        <v>0</v>
      </c>
      <c r="W119" s="186">
        <v>-2315</v>
      </c>
      <c r="X119" s="186">
        <v>0</v>
      </c>
      <c r="Y119" s="186">
        <v>24776</v>
      </c>
      <c r="Z119" s="186">
        <v>0</v>
      </c>
      <c r="AA119" s="186">
        <v>0</v>
      </c>
      <c r="AB119" s="186">
        <v>-2315</v>
      </c>
      <c r="AC119" s="186">
        <v>-2315</v>
      </c>
      <c r="AD119" s="186">
        <v>-2315</v>
      </c>
      <c r="AE119" s="186">
        <v>-2315</v>
      </c>
      <c r="AF119" s="186">
        <v>-2315</v>
      </c>
      <c r="AG119" s="186">
        <v>-13201</v>
      </c>
      <c r="AH119" s="187">
        <v>11.7</v>
      </c>
    </row>
    <row r="120" spans="2:34">
      <c r="B120" s="185" t="s">
        <v>340</v>
      </c>
      <c r="C120" s="186">
        <v>94</v>
      </c>
      <c r="D120" s="186">
        <v>28</v>
      </c>
      <c r="E120" s="186">
        <v>566</v>
      </c>
      <c r="F120" s="186">
        <v>3155126</v>
      </c>
      <c r="G120" s="186">
        <v>3358901</v>
      </c>
      <c r="H120" s="186">
        <v>170569</v>
      </c>
      <c r="I120" s="186">
        <v>5952.3537639999986</v>
      </c>
      <c r="J120" s="186">
        <v>-275044</v>
      </c>
      <c r="K120" s="186">
        <v>3656501</v>
      </c>
      <c r="L120" s="186">
        <v>2743149</v>
      </c>
      <c r="M120" s="186">
        <v>3155126</v>
      </c>
      <c r="N120" s="186">
        <v>3155126</v>
      </c>
      <c r="O120" s="186">
        <v>105246</v>
      </c>
      <c r="P120" s="186">
        <v>99703</v>
      </c>
      <c r="Q120" s="186">
        <v>0</v>
      </c>
      <c r="R120" s="186">
        <v>0</v>
      </c>
      <c r="S120" s="186">
        <v>-309424</v>
      </c>
      <c r="T120" s="186">
        <v>99300</v>
      </c>
      <c r="U120" s="186">
        <v>0</v>
      </c>
      <c r="V120" s="186">
        <v>0</v>
      </c>
      <c r="W120" s="186">
        <v>-34380</v>
      </c>
      <c r="X120" s="186">
        <v>0</v>
      </c>
      <c r="Y120" s="186">
        <v>275044</v>
      </c>
      <c r="Z120" s="186">
        <v>0</v>
      </c>
      <c r="AA120" s="186">
        <v>0</v>
      </c>
      <c r="AB120" s="186">
        <v>-34380</v>
      </c>
      <c r="AC120" s="186">
        <v>-34380</v>
      </c>
      <c r="AD120" s="186">
        <v>-34380</v>
      </c>
      <c r="AE120" s="186">
        <v>-34380</v>
      </c>
      <c r="AF120" s="186">
        <v>-34380</v>
      </c>
      <c r="AG120" s="186">
        <v>-103144</v>
      </c>
      <c r="AH120" s="187">
        <v>9</v>
      </c>
    </row>
    <row r="121" spans="2:34">
      <c r="B121" s="185" t="s">
        <v>461</v>
      </c>
      <c r="C121" s="186">
        <v>0</v>
      </c>
      <c r="D121" s="186">
        <v>195</v>
      </c>
      <c r="E121" s="186">
        <v>1538</v>
      </c>
      <c r="F121" s="186">
        <v>2762289</v>
      </c>
      <c r="G121" s="186">
        <v>2899184</v>
      </c>
      <c r="H121" s="186">
        <v>178795</v>
      </c>
      <c r="I121" s="186">
        <v>18018.99151900001</v>
      </c>
      <c r="J121" s="186">
        <v>-315690</v>
      </c>
      <c r="K121" s="186">
        <v>3325035</v>
      </c>
      <c r="L121" s="186">
        <v>2312292</v>
      </c>
      <c r="M121" s="186">
        <v>2762289</v>
      </c>
      <c r="N121" s="186">
        <v>2762289</v>
      </c>
      <c r="O121" s="186">
        <v>120135</v>
      </c>
      <c r="P121" s="186">
        <v>88164</v>
      </c>
      <c r="Q121" s="186">
        <v>0</v>
      </c>
      <c r="R121" s="186">
        <v>0</v>
      </c>
      <c r="S121" s="186">
        <v>-345194</v>
      </c>
      <c r="T121" s="186">
        <v>0</v>
      </c>
      <c r="U121" s="186">
        <v>0</v>
      </c>
      <c r="V121" s="186">
        <v>0</v>
      </c>
      <c r="W121" s="186">
        <v>-29504</v>
      </c>
      <c r="X121" s="186">
        <v>0</v>
      </c>
      <c r="Y121" s="186">
        <v>315690</v>
      </c>
      <c r="Z121" s="186">
        <v>0</v>
      </c>
      <c r="AA121" s="186">
        <v>0</v>
      </c>
      <c r="AB121" s="186">
        <v>-29504</v>
      </c>
      <c r="AC121" s="186">
        <v>-29504</v>
      </c>
      <c r="AD121" s="186">
        <v>-29504</v>
      </c>
      <c r="AE121" s="186">
        <v>-29504</v>
      </c>
      <c r="AF121" s="186">
        <v>-29504</v>
      </c>
      <c r="AG121" s="186">
        <v>-168170</v>
      </c>
      <c r="AH121" s="187">
        <v>11.7</v>
      </c>
    </row>
    <row r="122" spans="2:34">
      <c r="B122" s="185" t="s">
        <v>341</v>
      </c>
      <c r="C122" s="186">
        <v>25</v>
      </c>
      <c r="D122" s="186">
        <v>10</v>
      </c>
      <c r="E122" s="186">
        <v>73</v>
      </c>
      <c r="F122" s="186">
        <v>297633</v>
      </c>
      <c r="G122" s="186">
        <v>322740</v>
      </c>
      <c r="H122" s="186">
        <v>11978</v>
      </c>
      <c r="I122" s="186">
        <v>885.70233000000019</v>
      </c>
      <c r="J122" s="186">
        <v>-23735</v>
      </c>
      <c r="K122" s="186">
        <v>341091</v>
      </c>
      <c r="L122" s="186">
        <v>262076</v>
      </c>
      <c r="M122" s="186">
        <v>297633</v>
      </c>
      <c r="N122" s="186">
        <v>297633</v>
      </c>
      <c r="O122" s="186">
        <v>5554</v>
      </c>
      <c r="P122" s="186">
        <v>9391</v>
      </c>
      <c r="Q122" s="186">
        <v>0</v>
      </c>
      <c r="R122" s="186">
        <v>0</v>
      </c>
      <c r="S122" s="186">
        <v>-26702</v>
      </c>
      <c r="T122" s="186">
        <v>13350</v>
      </c>
      <c r="U122" s="186">
        <v>0</v>
      </c>
      <c r="V122" s="186">
        <v>0</v>
      </c>
      <c r="W122" s="186">
        <v>-2967</v>
      </c>
      <c r="X122" s="186">
        <v>0</v>
      </c>
      <c r="Y122" s="186">
        <v>23735</v>
      </c>
      <c r="Z122" s="186">
        <v>0</v>
      </c>
      <c r="AA122" s="186">
        <v>0</v>
      </c>
      <c r="AB122" s="186">
        <v>-2967</v>
      </c>
      <c r="AC122" s="186">
        <v>-2967</v>
      </c>
      <c r="AD122" s="186">
        <v>-2967</v>
      </c>
      <c r="AE122" s="186">
        <v>-2967</v>
      </c>
      <c r="AF122" s="186">
        <v>-2967</v>
      </c>
      <c r="AG122" s="186">
        <v>-8900</v>
      </c>
      <c r="AH122" s="187">
        <v>9</v>
      </c>
    </row>
    <row r="123" spans="2:34">
      <c r="B123" s="185" t="s">
        <v>342</v>
      </c>
      <c r="C123" s="186">
        <v>33</v>
      </c>
      <c r="D123" s="186">
        <v>15</v>
      </c>
      <c r="E123" s="186">
        <v>285</v>
      </c>
      <c r="F123" s="186">
        <v>644910</v>
      </c>
      <c r="G123" s="186">
        <v>684985</v>
      </c>
      <c r="H123" s="186">
        <v>37082</v>
      </c>
      <c r="I123" s="186">
        <v>3156.8458509999996</v>
      </c>
      <c r="J123" s="186">
        <v>-60207</v>
      </c>
      <c r="K123" s="186">
        <v>753534</v>
      </c>
      <c r="L123" s="186">
        <v>555832</v>
      </c>
      <c r="M123" s="186">
        <v>644910</v>
      </c>
      <c r="N123" s="186">
        <v>644910</v>
      </c>
      <c r="O123" s="186">
        <v>23409</v>
      </c>
      <c r="P123" s="186">
        <v>20438</v>
      </c>
      <c r="Q123" s="186">
        <v>0</v>
      </c>
      <c r="R123" s="186">
        <v>0</v>
      </c>
      <c r="S123" s="186">
        <v>-66972</v>
      </c>
      <c r="T123" s="186">
        <v>16950</v>
      </c>
      <c r="U123" s="186">
        <v>0</v>
      </c>
      <c r="V123" s="186">
        <v>0</v>
      </c>
      <c r="W123" s="186">
        <v>-6765</v>
      </c>
      <c r="X123" s="186">
        <v>0</v>
      </c>
      <c r="Y123" s="186">
        <v>60207</v>
      </c>
      <c r="Z123" s="186">
        <v>0</v>
      </c>
      <c r="AA123" s="186">
        <v>0</v>
      </c>
      <c r="AB123" s="186">
        <v>-6765</v>
      </c>
      <c r="AC123" s="186">
        <v>-6765</v>
      </c>
      <c r="AD123" s="186">
        <v>-6765</v>
      </c>
      <c r="AE123" s="186">
        <v>-6765</v>
      </c>
      <c r="AF123" s="186">
        <v>-6765</v>
      </c>
      <c r="AG123" s="186">
        <v>-26382</v>
      </c>
      <c r="AH123" s="187">
        <v>9.9</v>
      </c>
    </row>
    <row r="124" spans="2:34">
      <c r="B124" s="185" t="s">
        <v>343</v>
      </c>
      <c r="C124" s="186">
        <v>0</v>
      </c>
      <c r="D124" s="186">
        <v>0</v>
      </c>
      <c r="E124" s="186">
        <v>0</v>
      </c>
      <c r="F124" s="186">
        <v>0</v>
      </c>
      <c r="G124" s="186">
        <v>0</v>
      </c>
      <c r="H124" s="186">
        <v>0</v>
      </c>
      <c r="I124" s="186">
        <v>0</v>
      </c>
      <c r="J124" s="186">
        <v>0</v>
      </c>
      <c r="K124" s="186">
        <v>0</v>
      </c>
      <c r="L124" s="186">
        <v>0</v>
      </c>
      <c r="M124" s="186">
        <v>0</v>
      </c>
      <c r="N124" s="186">
        <v>0</v>
      </c>
      <c r="O124" s="186">
        <v>0</v>
      </c>
      <c r="P124" s="186">
        <v>0</v>
      </c>
      <c r="Q124" s="186">
        <v>0</v>
      </c>
      <c r="R124" s="186">
        <v>0</v>
      </c>
      <c r="S124" s="186">
        <v>0</v>
      </c>
      <c r="T124" s="186">
        <v>0</v>
      </c>
      <c r="U124" s="186">
        <v>0</v>
      </c>
      <c r="V124" s="186">
        <v>0</v>
      </c>
      <c r="W124" s="186">
        <v>0</v>
      </c>
      <c r="X124" s="186">
        <v>0</v>
      </c>
      <c r="Y124" s="186">
        <v>0</v>
      </c>
      <c r="Z124" s="186">
        <v>0</v>
      </c>
      <c r="AA124" s="186">
        <v>0</v>
      </c>
      <c r="AB124" s="186">
        <v>0</v>
      </c>
      <c r="AC124" s="186">
        <v>0</v>
      </c>
      <c r="AD124" s="186">
        <v>0</v>
      </c>
      <c r="AE124" s="186">
        <v>0</v>
      </c>
      <c r="AF124" s="186">
        <v>0</v>
      </c>
      <c r="AG124" s="186">
        <v>0</v>
      </c>
      <c r="AH124" s="187">
        <v>1</v>
      </c>
    </row>
    <row r="125" spans="2:34">
      <c r="B125" s="185" t="s">
        <v>344</v>
      </c>
      <c r="C125" s="186">
        <v>194</v>
      </c>
      <c r="D125" s="186">
        <v>0</v>
      </c>
      <c r="E125" s="186">
        <v>0</v>
      </c>
      <c r="F125" s="186">
        <v>0</v>
      </c>
      <c r="G125" s="186">
        <v>0</v>
      </c>
      <c r="H125" s="186">
        <v>0</v>
      </c>
      <c r="I125" s="186">
        <v>0</v>
      </c>
      <c r="J125" s="186">
        <v>0</v>
      </c>
      <c r="K125" s="186">
        <v>0</v>
      </c>
      <c r="L125" s="186">
        <v>0</v>
      </c>
      <c r="M125" s="186">
        <v>0</v>
      </c>
      <c r="N125" s="186">
        <v>0</v>
      </c>
      <c r="O125" s="186">
        <v>0</v>
      </c>
      <c r="P125" s="186">
        <v>0</v>
      </c>
      <c r="Q125" s="186">
        <v>0</v>
      </c>
      <c r="R125" s="186">
        <v>0</v>
      </c>
      <c r="S125" s="186">
        <v>0</v>
      </c>
      <c r="T125" s="186">
        <v>0</v>
      </c>
      <c r="U125" s="186">
        <v>0</v>
      </c>
      <c r="V125" s="186">
        <v>0</v>
      </c>
      <c r="W125" s="186">
        <v>0</v>
      </c>
      <c r="X125" s="186">
        <v>0</v>
      </c>
      <c r="Y125" s="186">
        <v>0</v>
      </c>
      <c r="Z125" s="186">
        <v>0</v>
      </c>
      <c r="AA125" s="186">
        <v>0</v>
      </c>
      <c r="AB125" s="186">
        <v>0</v>
      </c>
      <c r="AC125" s="186">
        <v>0</v>
      </c>
      <c r="AD125" s="186">
        <v>0</v>
      </c>
      <c r="AE125" s="186">
        <v>0</v>
      </c>
      <c r="AF125" s="186">
        <v>0</v>
      </c>
      <c r="AG125" s="186">
        <v>0</v>
      </c>
      <c r="AH125" s="187">
        <v>1</v>
      </c>
    </row>
    <row r="126" spans="2:34">
      <c r="B126" s="185" t="s">
        <v>345</v>
      </c>
      <c r="C126" s="186">
        <v>0</v>
      </c>
      <c r="D126" s="186">
        <v>0</v>
      </c>
      <c r="E126" s="186">
        <v>0</v>
      </c>
      <c r="F126" s="186">
        <v>0</v>
      </c>
      <c r="G126" s="186">
        <v>0</v>
      </c>
      <c r="H126" s="186">
        <v>0</v>
      </c>
      <c r="I126" s="186">
        <v>0</v>
      </c>
      <c r="J126" s="186">
        <v>0</v>
      </c>
      <c r="K126" s="186">
        <v>0</v>
      </c>
      <c r="L126" s="186">
        <v>0</v>
      </c>
      <c r="M126" s="186">
        <v>0</v>
      </c>
      <c r="N126" s="186">
        <v>0</v>
      </c>
      <c r="O126" s="186">
        <v>0</v>
      </c>
      <c r="P126" s="186">
        <v>0</v>
      </c>
      <c r="Q126" s="186">
        <v>0</v>
      </c>
      <c r="R126" s="186">
        <v>0</v>
      </c>
      <c r="S126" s="186">
        <v>0</v>
      </c>
      <c r="T126" s="186">
        <v>0</v>
      </c>
      <c r="U126" s="186">
        <v>0</v>
      </c>
      <c r="V126" s="186">
        <v>0</v>
      </c>
      <c r="W126" s="186">
        <v>0</v>
      </c>
      <c r="X126" s="186">
        <v>0</v>
      </c>
      <c r="Y126" s="186">
        <v>0</v>
      </c>
      <c r="Z126" s="186">
        <v>0</v>
      </c>
      <c r="AA126" s="186">
        <v>0</v>
      </c>
      <c r="AB126" s="186">
        <v>0</v>
      </c>
      <c r="AC126" s="186">
        <v>0</v>
      </c>
      <c r="AD126" s="186">
        <v>0</v>
      </c>
      <c r="AE126" s="186">
        <v>0</v>
      </c>
      <c r="AF126" s="186">
        <v>0</v>
      </c>
      <c r="AG126" s="186">
        <v>0</v>
      </c>
      <c r="AH126" s="187">
        <v>1</v>
      </c>
    </row>
    <row r="127" spans="2:34">
      <c r="B127" s="185" t="s">
        <v>346</v>
      </c>
      <c r="C127" s="186">
        <v>100</v>
      </c>
      <c r="D127" s="186">
        <v>71</v>
      </c>
      <c r="E127" s="186">
        <v>624</v>
      </c>
      <c r="F127" s="186">
        <v>1886744</v>
      </c>
      <c r="G127" s="186">
        <v>2022547</v>
      </c>
      <c r="H127" s="186">
        <v>99631</v>
      </c>
      <c r="I127" s="186">
        <v>7972.4865600000057</v>
      </c>
      <c r="J127" s="186">
        <v>-182634</v>
      </c>
      <c r="K127" s="186">
        <v>2213856</v>
      </c>
      <c r="L127" s="186">
        <v>1622936</v>
      </c>
      <c r="M127" s="186">
        <v>1886744</v>
      </c>
      <c r="N127" s="186">
        <v>1886744</v>
      </c>
      <c r="O127" s="186">
        <v>57915</v>
      </c>
      <c r="P127" s="186">
        <v>59979</v>
      </c>
      <c r="Q127" s="186">
        <v>0</v>
      </c>
      <c r="R127" s="186">
        <v>0</v>
      </c>
      <c r="S127" s="186">
        <v>-200897</v>
      </c>
      <c r="T127" s="186">
        <v>52800</v>
      </c>
      <c r="U127" s="186">
        <v>0</v>
      </c>
      <c r="V127" s="186">
        <v>0</v>
      </c>
      <c r="W127" s="186">
        <v>-18263</v>
      </c>
      <c r="X127" s="186">
        <v>0</v>
      </c>
      <c r="Y127" s="186">
        <v>182634</v>
      </c>
      <c r="Z127" s="186">
        <v>0</v>
      </c>
      <c r="AA127" s="186">
        <v>0</v>
      </c>
      <c r="AB127" s="186">
        <v>-18263</v>
      </c>
      <c r="AC127" s="186">
        <v>-18263</v>
      </c>
      <c r="AD127" s="186">
        <v>-18263</v>
      </c>
      <c r="AE127" s="186">
        <v>-18263</v>
      </c>
      <c r="AF127" s="186">
        <v>-18263</v>
      </c>
      <c r="AG127" s="186">
        <v>-91319</v>
      </c>
      <c r="AH127" s="187">
        <v>11</v>
      </c>
    </row>
    <row r="128" spans="2:34">
      <c r="B128" s="185" t="s">
        <v>347</v>
      </c>
      <c r="C128" s="186">
        <v>15</v>
      </c>
      <c r="D128" s="186">
        <v>9</v>
      </c>
      <c r="E128" s="186">
        <v>60</v>
      </c>
      <c r="F128" s="186">
        <v>238026</v>
      </c>
      <c r="G128" s="186">
        <v>255929</v>
      </c>
      <c r="H128" s="186">
        <v>10203</v>
      </c>
      <c r="I128" s="186">
        <v>694.70280600000024</v>
      </c>
      <c r="J128" s="186">
        <v>-20306</v>
      </c>
      <c r="K128" s="186">
        <v>274916</v>
      </c>
      <c r="L128" s="186">
        <v>207865</v>
      </c>
      <c r="M128" s="186">
        <v>238026</v>
      </c>
      <c r="N128" s="186">
        <v>238026</v>
      </c>
      <c r="O128" s="186">
        <v>5140</v>
      </c>
      <c r="P128" s="186">
        <v>7509</v>
      </c>
      <c r="Q128" s="186">
        <v>0</v>
      </c>
      <c r="R128" s="186">
        <v>0</v>
      </c>
      <c r="S128" s="186">
        <v>-22752</v>
      </c>
      <c r="T128" s="186">
        <v>7800</v>
      </c>
      <c r="U128" s="186">
        <v>0</v>
      </c>
      <c r="V128" s="186">
        <v>0</v>
      </c>
      <c r="W128" s="186">
        <v>-2446</v>
      </c>
      <c r="X128" s="186">
        <v>0</v>
      </c>
      <c r="Y128" s="186">
        <v>20306</v>
      </c>
      <c r="Z128" s="186">
        <v>0</v>
      </c>
      <c r="AA128" s="186">
        <v>0</v>
      </c>
      <c r="AB128" s="186">
        <v>-2446</v>
      </c>
      <c r="AC128" s="186">
        <v>-2446</v>
      </c>
      <c r="AD128" s="186">
        <v>-2446</v>
      </c>
      <c r="AE128" s="186">
        <v>-2446</v>
      </c>
      <c r="AF128" s="186">
        <v>-2446</v>
      </c>
      <c r="AG128" s="186">
        <v>-8076</v>
      </c>
      <c r="AH128" s="187">
        <v>9.3000000000000007</v>
      </c>
    </row>
    <row r="129" spans="2:34">
      <c r="B129" s="185" t="s">
        <v>348</v>
      </c>
      <c r="C129" s="186">
        <v>140</v>
      </c>
      <c r="D129" s="186">
        <v>41</v>
      </c>
      <c r="E129" s="186">
        <v>388</v>
      </c>
      <c r="F129" s="186">
        <v>1573796</v>
      </c>
      <c r="G129" s="186">
        <v>1698868</v>
      </c>
      <c r="H129" s="186">
        <v>66698</v>
      </c>
      <c r="I129" s="186">
        <v>4234.6740579999969</v>
      </c>
      <c r="J129" s="186">
        <v>-119020</v>
      </c>
      <c r="K129" s="186">
        <v>1793893</v>
      </c>
      <c r="L129" s="186">
        <v>1391258</v>
      </c>
      <c r="M129" s="186">
        <v>1573796</v>
      </c>
      <c r="N129" s="186">
        <v>1573796</v>
      </c>
      <c r="O129" s="186">
        <v>34159</v>
      </c>
      <c r="P129" s="186">
        <v>49542</v>
      </c>
      <c r="Q129" s="186">
        <v>0</v>
      </c>
      <c r="R129" s="186">
        <v>0</v>
      </c>
      <c r="S129" s="186">
        <v>-136023</v>
      </c>
      <c r="T129" s="186">
        <v>72750</v>
      </c>
      <c r="U129" s="186">
        <v>0</v>
      </c>
      <c r="V129" s="186">
        <v>0</v>
      </c>
      <c r="W129" s="186">
        <v>-17003</v>
      </c>
      <c r="X129" s="186">
        <v>0</v>
      </c>
      <c r="Y129" s="186">
        <v>119020</v>
      </c>
      <c r="Z129" s="186">
        <v>0</v>
      </c>
      <c r="AA129" s="186">
        <v>0</v>
      </c>
      <c r="AB129" s="186">
        <v>-17003</v>
      </c>
      <c r="AC129" s="186">
        <v>-17003</v>
      </c>
      <c r="AD129" s="186">
        <v>-17003</v>
      </c>
      <c r="AE129" s="186">
        <v>-17003</v>
      </c>
      <c r="AF129" s="186">
        <v>-17003</v>
      </c>
      <c r="AG129" s="186">
        <v>-34005</v>
      </c>
      <c r="AH129" s="187">
        <v>8</v>
      </c>
    </row>
    <row r="130" spans="2:34">
      <c r="B130" s="185" t="s">
        <v>349</v>
      </c>
      <c r="C130" s="186">
        <v>95</v>
      </c>
      <c r="D130" s="186">
        <v>23</v>
      </c>
      <c r="E130" s="186">
        <v>274</v>
      </c>
      <c r="F130" s="186">
        <v>1192260</v>
      </c>
      <c r="G130" s="186">
        <v>1285941</v>
      </c>
      <c r="H130" s="186">
        <v>49097</v>
      </c>
      <c r="I130" s="186">
        <v>3048.4566590000004</v>
      </c>
      <c r="J130" s="186">
        <v>-89228</v>
      </c>
      <c r="K130" s="186">
        <v>1356175</v>
      </c>
      <c r="L130" s="186">
        <v>1056227</v>
      </c>
      <c r="M130" s="186">
        <v>1192260</v>
      </c>
      <c r="N130" s="186">
        <v>1192260</v>
      </c>
      <c r="O130" s="186">
        <v>23856</v>
      </c>
      <c r="P130" s="186">
        <v>37464</v>
      </c>
      <c r="Q130" s="186">
        <v>0</v>
      </c>
      <c r="R130" s="186">
        <v>0</v>
      </c>
      <c r="S130" s="186">
        <v>-101451</v>
      </c>
      <c r="T130" s="186">
        <v>53550</v>
      </c>
      <c r="U130" s="186">
        <v>0</v>
      </c>
      <c r="V130" s="186">
        <v>0</v>
      </c>
      <c r="W130" s="186">
        <v>-12223</v>
      </c>
      <c r="X130" s="186">
        <v>0</v>
      </c>
      <c r="Y130" s="186">
        <v>89228</v>
      </c>
      <c r="Z130" s="186">
        <v>0</v>
      </c>
      <c r="AA130" s="186">
        <v>0</v>
      </c>
      <c r="AB130" s="186">
        <v>-12223</v>
      </c>
      <c r="AC130" s="186">
        <v>-12223</v>
      </c>
      <c r="AD130" s="186">
        <v>-12223</v>
      </c>
      <c r="AE130" s="186">
        <v>-12223</v>
      </c>
      <c r="AF130" s="186">
        <v>-12223</v>
      </c>
      <c r="AG130" s="186">
        <v>-28113</v>
      </c>
      <c r="AH130" s="187">
        <v>8.3000000000000007</v>
      </c>
    </row>
    <row r="131" spans="2:34">
      <c r="B131" s="185" t="s">
        <v>350</v>
      </c>
      <c r="C131" s="186">
        <v>37</v>
      </c>
      <c r="D131" s="186">
        <v>87</v>
      </c>
      <c r="E131" s="186">
        <v>445</v>
      </c>
      <c r="F131" s="186">
        <v>1362048</v>
      </c>
      <c r="G131" s="186">
        <v>1449739</v>
      </c>
      <c r="H131" s="186">
        <v>66999</v>
      </c>
      <c r="I131" s="186">
        <v>4877.4892790000013</v>
      </c>
      <c r="J131" s="186">
        <v>-134440</v>
      </c>
      <c r="K131" s="186">
        <v>1604682</v>
      </c>
      <c r="L131" s="186">
        <v>1165796</v>
      </c>
      <c r="M131" s="186">
        <v>1362048</v>
      </c>
      <c r="N131" s="186">
        <v>1362048</v>
      </c>
      <c r="O131" s="186">
        <v>38609</v>
      </c>
      <c r="P131" s="186">
        <v>43164</v>
      </c>
      <c r="Q131" s="186">
        <v>0</v>
      </c>
      <c r="R131" s="186">
        <v>0</v>
      </c>
      <c r="S131" s="186">
        <v>-149214</v>
      </c>
      <c r="T131" s="186">
        <v>20250</v>
      </c>
      <c r="U131" s="186">
        <v>0</v>
      </c>
      <c r="V131" s="186">
        <v>0</v>
      </c>
      <c r="W131" s="186">
        <v>-14774</v>
      </c>
      <c r="X131" s="186">
        <v>0</v>
      </c>
      <c r="Y131" s="186">
        <v>134440</v>
      </c>
      <c r="Z131" s="186">
        <v>0</v>
      </c>
      <c r="AA131" s="186">
        <v>0</v>
      </c>
      <c r="AB131" s="186">
        <v>-14774</v>
      </c>
      <c r="AC131" s="186">
        <v>-14774</v>
      </c>
      <c r="AD131" s="186">
        <v>-14774</v>
      </c>
      <c r="AE131" s="186">
        <v>-14774</v>
      </c>
      <c r="AF131" s="186">
        <v>-14774</v>
      </c>
      <c r="AG131" s="186">
        <v>-60570</v>
      </c>
      <c r="AH131" s="187">
        <v>10.1</v>
      </c>
    </row>
    <row r="132" spans="2:34">
      <c r="B132" s="185" t="s">
        <v>351</v>
      </c>
      <c r="C132" s="186">
        <v>95</v>
      </c>
      <c r="D132" s="186">
        <v>26</v>
      </c>
      <c r="E132" s="186">
        <v>366</v>
      </c>
      <c r="F132" s="186">
        <v>2710947</v>
      </c>
      <c r="G132" s="186">
        <v>2912249</v>
      </c>
      <c r="H132" s="186">
        <v>123253</v>
      </c>
      <c r="I132" s="186">
        <v>3873.0932879999987</v>
      </c>
      <c r="J132" s="186">
        <v>-220755</v>
      </c>
      <c r="K132" s="186">
        <v>3117001</v>
      </c>
      <c r="L132" s="186">
        <v>2376827</v>
      </c>
      <c r="M132" s="186">
        <v>2710947</v>
      </c>
      <c r="N132" s="186">
        <v>2710947</v>
      </c>
      <c r="O132" s="186">
        <v>67589</v>
      </c>
      <c r="P132" s="186">
        <v>85496</v>
      </c>
      <c r="Q132" s="186">
        <v>0</v>
      </c>
      <c r="R132" s="186">
        <v>0</v>
      </c>
      <c r="S132" s="186">
        <v>-250587</v>
      </c>
      <c r="T132" s="186">
        <v>103800</v>
      </c>
      <c r="U132" s="186">
        <v>0</v>
      </c>
      <c r="V132" s="186">
        <v>0</v>
      </c>
      <c r="W132" s="186">
        <v>-29832</v>
      </c>
      <c r="X132" s="186">
        <v>0</v>
      </c>
      <c r="Y132" s="186">
        <v>220755</v>
      </c>
      <c r="Z132" s="186">
        <v>0</v>
      </c>
      <c r="AA132" s="186">
        <v>0</v>
      </c>
      <c r="AB132" s="186">
        <v>-29832</v>
      </c>
      <c r="AC132" s="186">
        <v>-29832</v>
      </c>
      <c r="AD132" s="186">
        <v>-29832</v>
      </c>
      <c r="AE132" s="186">
        <v>-29832</v>
      </c>
      <c r="AF132" s="186">
        <v>-29832</v>
      </c>
      <c r="AG132" s="186">
        <v>-71595</v>
      </c>
      <c r="AH132" s="187">
        <v>8.4</v>
      </c>
    </row>
    <row r="133" spans="2:34">
      <c r="B133" s="185" t="s">
        <v>352</v>
      </c>
      <c r="C133" s="186">
        <v>29</v>
      </c>
      <c r="D133" s="186">
        <v>11</v>
      </c>
      <c r="E133" s="186">
        <v>118</v>
      </c>
      <c r="F133" s="186">
        <v>380615</v>
      </c>
      <c r="G133" s="186">
        <v>410387</v>
      </c>
      <c r="H133" s="186">
        <v>17204</v>
      </c>
      <c r="I133" s="186">
        <v>1421.5325089999999</v>
      </c>
      <c r="J133" s="186">
        <v>-31826</v>
      </c>
      <c r="K133" s="186">
        <v>438247</v>
      </c>
      <c r="L133" s="186">
        <v>333460</v>
      </c>
      <c r="M133" s="186">
        <v>380615</v>
      </c>
      <c r="N133" s="186">
        <v>380615</v>
      </c>
      <c r="O133" s="186">
        <v>8842</v>
      </c>
      <c r="P133" s="186">
        <v>12020</v>
      </c>
      <c r="Q133" s="186">
        <v>0</v>
      </c>
      <c r="R133" s="186">
        <v>0</v>
      </c>
      <c r="S133" s="186">
        <v>-35484</v>
      </c>
      <c r="T133" s="186">
        <v>15150</v>
      </c>
      <c r="U133" s="186">
        <v>0</v>
      </c>
      <c r="V133" s="186">
        <v>0</v>
      </c>
      <c r="W133" s="186">
        <v>-3658</v>
      </c>
      <c r="X133" s="186">
        <v>0</v>
      </c>
      <c r="Y133" s="186">
        <v>31826</v>
      </c>
      <c r="Z133" s="186">
        <v>0</v>
      </c>
      <c r="AA133" s="186">
        <v>0</v>
      </c>
      <c r="AB133" s="186">
        <v>-3658</v>
      </c>
      <c r="AC133" s="186">
        <v>-3658</v>
      </c>
      <c r="AD133" s="186">
        <v>-3658</v>
      </c>
      <c r="AE133" s="186">
        <v>-3658</v>
      </c>
      <c r="AF133" s="186">
        <v>-3658</v>
      </c>
      <c r="AG133" s="186">
        <v>-13536</v>
      </c>
      <c r="AH133" s="187">
        <v>9.6999999999999993</v>
      </c>
    </row>
    <row r="134" spans="2:34">
      <c r="B134" s="185" t="s">
        <v>353</v>
      </c>
      <c r="C134" s="186">
        <v>18</v>
      </c>
      <c r="D134" s="186">
        <v>9</v>
      </c>
      <c r="E134" s="186">
        <v>94</v>
      </c>
      <c r="F134" s="186">
        <v>317809</v>
      </c>
      <c r="G134" s="186">
        <v>341360</v>
      </c>
      <c r="H134" s="186">
        <v>14947</v>
      </c>
      <c r="I134" s="186">
        <v>1090.8368350000001</v>
      </c>
      <c r="J134" s="186">
        <v>-28298</v>
      </c>
      <c r="K134" s="186">
        <v>368962</v>
      </c>
      <c r="L134" s="186">
        <v>276026</v>
      </c>
      <c r="M134" s="186">
        <v>317809</v>
      </c>
      <c r="N134" s="186">
        <v>317809</v>
      </c>
      <c r="O134" s="186">
        <v>8143</v>
      </c>
      <c r="P134" s="186">
        <v>10057</v>
      </c>
      <c r="Q134" s="186">
        <v>0</v>
      </c>
      <c r="R134" s="186">
        <v>0</v>
      </c>
      <c r="S134" s="186">
        <v>-31551</v>
      </c>
      <c r="T134" s="186">
        <v>10200</v>
      </c>
      <c r="U134" s="186">
        <v>0</v>
      </c>
      <c r="V134" s="186">
        <v>0</v>
      </c>
      <c r="W134" s="186">
        <v>-3253</v>
      </c>
      <c r="X134" s="186">
        <v>0</v>
      </c>
      <c r="Y134" s="186">
        <v>28298</v>
      </c>
      <c r="Z134" s="186">
        <v>0</v>
      </c>
      <c r="AA134" s="186">
        <v>0</v>
      </c>
      <c r="AB134" s="186">
        <v>-3253</v>
      </c>
      <c r="AC134" s="186">
        <v>-3253</v>
      </c>
      <c r="AD134" s="186">
        <v>-3253</v>
      </c>
      <c r="AE134" s="186">
        <v>-3253</v>
      </c>
      <c r="AF134" s="186">
        <v>-3253</v>
      </c>
      <c r="AG134" s="186">
        <v>-12033</v>
      </c>
      <c r="AH134" s="187">
        <v>9.6999999999999993</v>
      </c>
    </row>
    <row r="135" spans="2:34">
      <c r="B135" s="185" t="s">
        <v>354</v>
      </c>
      <c r="C135" s="186">
        <v>21</v>
      </c>
      <c r="D135" s="186">
        <v>5</v>
      </c>
      <c r="E135" s="186">
        <v>60</v>
      </c>
      <c r="F135" s="186">
        <v>292269</v>
      </c>
      <c r="G135" s="186">
        <v>316093</v>
      </c>
      <c r="H135" s="186">
        <v>11671</v>
      </c>
      <c r="I135" s="186">
        <v>624.97342700000013</v>
      </c>
      <c r="J135" s="186">
        <v>-23195</v>
      </c>
      <c r="K135" s="186">
        <v>335328</v>
      </c>
      <c r="L135" s="186">
        <v>256705</v>
      </c>
      <c r="M135" s="186">
        <v>292269</v>
      </c>
      <c r="N135" s="186">
        <v>292269</v>
      </c>
      <c r="O135" s="186">
        <v>5910</v>
      </c>
      <c r="P135" s="186">
        <v>9223</v>
      </c>
      <c r="Q135" s="186">
        <v>0</v>
      </c>
      <c r="R135" s="186">
        <v>0</v>
      </c>
      <c r="S135" s="186">
        <v>-26657</v>
      </c>
      <c r="T135" s="186">
        <v>12300</v>
      </c>
      <c r="U135" s="186">
        <v>0</v>
      </c>
      <c r="V135" s="186">
        <v>0</v>
      </c>
      <c r="W135" s="186">
        <v>-3462</v>
      </c>
      <c r="X135" s="186">
        <v>0</v>
      </c>
      <c r="Y135" s="186">
        <v>23195</v>
      </c>
      <c r="Z135" s="186">
        <v>0</v>
      </c>
      <c r="AA135" s="186">
        <v>0</v>
      </c>
      <c r="AB135" s="186">
        <v>-3462</v>
      </c>
      <c r="AC135" s="186">
        <v>-3462</v>
      </c>
      <c r="AD135" s="186">
        <v>-3462</v>
      </c>
      <c r="AE135" s="186">
        <v>-3462</v>
      </c>
      <c r="AF135" s="186">
        <v>-3462</v>
      </c>
      <c r="AG135" s="186">
        <v>-5885</v>
      </c>
      <c r="AH135" s="187">
        <v>7.7</v>
      </c>
    </row>
    <row r="136" spans="2:34">
      <c r="B136" s="185" t="s">
        <v>355</v>
      </c>
      <c r="C136" s="186">
        <v>61</v>
      </c>
      <c r="D136" s="186">
        <v>17</v>
      </c>
      <c r="E136" s="186">
        <v>276</v>
      </c>
      <c r="F136" s="186">
        <v>2674713</v>
      </c>
      <c r="G136" s="186">
        <v>2858292</v>
      </c>
      <c r="H136" s="186">
        <v>134069</v>
      </c>
      <c r="I136" s="186">
        <v>3031.1249339999981</v>
      </c>
      <c r="J136" s="186">
        <v>-197126</v>
      </c>
      <c r="K136" s="186">
        <v>3032933</v>
      </c>
      <c r="L136" s="186">
        <v>2374650</v>
      </c>
      <c r="M136" s="186">
        <v>2674713</v>
      </c>
      <c r="N136" s="186">
        <v>2674713</v>
      </c>
      <c r="O136" s="186">
        <v>74823</v>
      </c>
      <c r="P136" s="186">
        <v>83887</v>
      </c>
      <c r="Q136" s="186">
        <v>0</v>
      </c>
      <c r="R136" s="186">
        <v>0</v>
      </c>
      <c r="S136" s="186">
        <v>-221767</v>
      </c>
      <c r="T136" s="186">
        <v>120522</v>
      </c>
      <c r="U136" s="186">
        <v>0</v>
      </c>
      <c r="V136" s="186">
        <v>0</v>
      </c>
      <c r="W136" s="186">
        <v>-24641</v>
      </c>
      <c r="X136" s="186">
        <v>0</v>
      </c>
      <c r="Y136" s="186">
        <v>197126</v>
      </c>
      <c r="Z136" s="186">
        <v>0</v>
      </c>
      <c r="AA136" s="186">
        <v>0</v>
      </c>
      <c r="AB136" s="186">
        <v>-24641</v>
      </c>
      <c r="AC136" s="186">
        <v>-24641</v>
      </c>
      <c r="AD136" s="186">
        <v>-24641</v>
      </c>
      <c r="AE136" s="186">
        <v>-24641</v>
      </c>
      <c r="AF136" s="186">
        <v>-24641</v>
      </c>
      <c r="AG136" s="186">
        <v>-73921</v>
      </c>
      <c r="AH136" s="187">
        <v>9</v>
      </c>
    </row>
    <row r="137" spans="2:34">
      <c r="B137" s="185" t="s">
        <v>356</v>
      </c>
      <c r="C137" s="186">
        <v>0</v>
      </c>
      <c r="D137" s="186">
        <v>0</v>
      </c>
      <c r="E137" s="186">
        <v>0</v>
      </c>
      <c r="F137" s="186">
        <v>0</v>
      </c>
      <c r="G137" s="186">
        <v>0</v>
      </c>
      <c r="H137" s="186">
        <v>0</v>
      </c>
      <c r="I137" s="186">
        <v>0</v>
      </c>
      <c r="J137" s="186">
        <v>0</v>
      </c>
      <c r="K137" s="186">
        <v>0</v>
      </c>
      <c r="L137" s="186">
        <v>0</v>
      </c>
      <c r="M137" s="186">
        <v>0</v>
      </c>
      <c r="N137" s="186">
        <v>0</v>
      </c>
      <c r="O137" s="186">
        <v>0</v>
      </c>
      <c r="P137" s="186">
        <v>0</v>
      </c>
      <c r="Q137" s="186">
        <v>0</v>
      </c>
      <c r="R137" s="186">
        <v>0</v>
      </c>
      <c r="S137" s="186">
        <v>0</v>
      </c>
      <c r="T137" s="186">
        <v>0</v>
      </c>
      <c r="U137" s="186">
        <v>0</v>
      </c>
      <c r="V137" s="186">
        <v>0</v>
      </c>
      <c r="W137" s="186">
        <v>0</v>
      </c>
      <c r="X137" s="186">
        <v>0</v>
      </c>
      <c r="Y137" s="186">
        <v>0</v>
      </c>
      <c r="Z137" s="186">
        <v>0</v>
      </c>
      <c r="AA137" s="186">
        <v>0</v>
      </c>
      <c r="AB137" s="186">
        <v>0</v>
      </c>
      <c r="AC137" s="186">
        <v>0</v>
      </c>
      <c r="AD137" s="186">
        <v>0</v>
      </c>
      <c r="AE137" s="186">
        <v>0</v>
      </c>
      <c r="AF137" s="186">
        <v>0</v>
      </c>
      <c r="AG137" s="186">
        <v>0</v>
      </c>
      <c r="AH137" s="187">
        <v>1</v>
      </c>
    </row>
    <row r="138" spans="2:34">
      <c r="B138" s="185" t="s">
        <v>357</v>
      </c>
      <c r="C138" s="186">
        <v>215</v>
      </c>
      <c r="D138" s="186">
        <v>109</v>
      </c>
      <c r="E138" s="186">
        <v>790</v>
      </c>
      <c r="F138" s="186">
        <v>2895622</v>
      </c>
      <c r="G138" s="186">
        <v>3119426</v>
      </c>
      <c r="H138" s="186">
        <v>125377</v>
      </c>
      <c r="I138" s="186">
        <v>9514.3357590000141</v>
      </c>
      <c r="J138" s="186">
        <v>-238481</v>
      </c>
      <c r="K138" s="186">
        <v>3327801</v>
      </c>
      <c r="L138" s="186">
        <v>2541179</v>
      </c>
      <c r="M138" s="186">
        <v>2895622</v>
      </c>
      <c r="N138" s="186">
        <v>2895622</v>
      </c>
      <c r="O138" s="186">
        <v>62148</v>
      </c>
      <c r="P138" s="186">
        <v>91286</v>
      </c>
      <c r="Q138" s="186">
        <v>0</v>
      </c>
      <c r="R138" s="186">
        <v>0</v>
      </c>
      <c r="S138" s="186">
        <v>-266538</v>
      </c>
      <c r="T138" s="186">
        <v>110700</v>
      </c>
      <c r="U138" s="186">
        <v>0</v>
      </c>
      <c r="V138" s="186">
        <v>0</v>
      </c>
      <c r="W138" s="186">
        <v>-28057</v>
      </c>
      <c r="X138" s="186">
        <v>0</v>
      </c>
      <c r="Y138" s="186">
        <v>238481</v>
      </c>
      <c r="Z138" s="186">
        <v>0</v>
      </c>
      <c r="AA138" s="186">
        <v>0</v>
      </c>
      <c r="AB138" s="186">
        <v>-28057</v>
      </c>
      <c r="AC138" s="186">
        <v>-28057</v>
      </c>
      <c r="AD138" s="186">
        <v>-28057</v>
      </c>
      <c r="AE138" s="186">
        <v>-28057</v>
      </c>
      <c r="AF138" s="186">
        <v>-28057</v>
      </c>
      <c r="AG138" s="186">
        <v>-98196</v>
      </c>
      <c r="AH138" s="187">
        <v>9.5</v>
      </c>
    </row>
    <row r="139" spans="2:34">
      <c r="B139" s="185" t="s">
        <v>358</v>
      </c>
      <c r="C139" s="186">
        <v>69</v>
      </c>
      <c r="D139" s="186">
        <v>12</v>
      </c>
      <c r="E139" s="186">
        <v>302</v>
      </c>
      <c r="F139" s="186">
        <v>928696</v>
      </c>
      <c r="G139" s="186">
        <v>993978</v>
      </c>
      <c r="H139" s="186">
        <v>44849</v>
      </c>
      <c r="I139" s="186">
        <v>3347.2999260000029</v>
      </c>
      <c r="J139" s="186">
        <v>-73681</v>
      </c>
      <c r="K139" s="186">
        <v>1062761</v>
      </c>
      <c r="L139" s="186">
        <v>818175</v>
      </c>
      <c r="M139" s="186">
        <v>928696</v>
      </c>
      <c r="N139" s="186">
        <v>928696</v>
      </c>
      <c r="O139" s="186">
        <v>24842</v>
      </c>
      <c r="P139" s="186">
        <v>29217</v>
      </c>
      <c r="Q139" s="186">
        <v>0</v>
      </c>
      <c r="R139" s="186">
        <v>0</v>
      </c>
      <c r="S139" s="186">
        <v>-82891</v>
      </c>
      <c r="T139" s="186">
        <v>36450</v>
      </c>
      <c r="U139" s="186">
        <v>0</v>
      </c>
      <c r="V139" s="186">
        <v>0</v>
      </c>
      <c r="W139" s="186">
        <v>-9210</v>
      </c>
      <c r="X139" s="186">
        <v>0</v>
      </c>
      <c r="Y139" s="186">
        <v>73681</v>
      </c>
      <c r="Z139" s="186">
        <v>0</v>
      </c>
      <c r="AA139" s="186">
        <v>0</v>
      </c>
      <c r="AB139" s="186">
        <v>-9210</v>
      </c>
      <c r="AC139" s="186">
        <v>-9210</v>
      </c>
      <c r="AD139" s="186">
        <v>-9210</v>
      </c>
      <c r="AE139" s="186">
        <v>-9210</v>
      </c>
      <c r="AF139" s="186">
        <v>-9210</v>
      </c>
      <c r="AG139" s="186">
        <v>-27631</v>
      </c>
      <c r="AH139" s="187">
        <v>9</v>
      </c>
    </row>
    <row r="140" spans="2:34">
      <c r="B140" s="185" t="s">
        <v>359</v>
      </c>
      <c r="C140" s="186">
        <v>1</v>
      </c>
      <c r="D140" s="186">
        <v>0</v>
      </c>
      <c r="E140" s="186">
        <v>29</v>
      </c>
      <c r="F140" s="186">
        <v>39848</v>
      </c>
      <c r="G140" s="186">
        <v>41522</v>
      </c>
      <c r="H140" s="186">
        <v>2464</v>
      </c>
      <c r="I140" s="186">
        <v>255.42357600000003</v>
      </c>
      <c r="J140" s="186">
        <v>-3538</v>
      </c>
      <c r="K140" s="186">
        <v>46408</v>
      </c>
      <c r="L140" s="186">
        <v>34469</v>
      </c>
      <c r="M140" s="186">
        <v>39848</v>
      </c>
      <c r="N140" s="186">
        <v>39848</v>
      </c>
      <c r="O140" s="186">
        <v>1683</v>
      </c>
      <c r="P140" s="186">
        <v>1253</v>
      </c>
      <c r="Q140" s="186">
        <v>0</v>
      </c>
      <c r="R140" s="186">
        <v>0</v>
      </c>
      <c r="S140" s="186">
        <v>-4010</v>
      </c>
      <c r="T140" s="186">
        <v>600</v>
      </c>
      <c r="U140" s="186">
        <v>0</v>
      </c>
      <c r="V140" s="186">
        <v>0</v>
      </c>
      <c r="W140" s="186">
        <v>-472</v>
      </c>
      <c r="X140" s="186">
        <v>0</v>
      </c>
      <c r="Y140" s="186">
        <v>3538</v>
      </c>
      <c r="Z140" s="186">
        <v>0</v>
      </c>
      <c r="AA140" s="186">
        <v>0</v>
      </c>
      <c r="AB140" s="186">
        <v>-472</v>
      </c>
      <c r="AC140" s="186">
        <v>-472</v>
      </c>
      <c r="AD140" s="186">
        <v>-472</v>
      </c>
      <c r="AE140" s="186">
        <v>-472</v>
      </c>
      <c r="AF140" s="186">
        <v>-472</v>
      </c>
      <c r="AG140" s="186">
        <v>-1178</v>
      </c>
      <c r="AH140" s="187">
        <v>8.5</v>
      </c>
    </row>
    <row r="141" spans="2:34">
      <c r="B141" s="185" t="s">
        <v>360</v>
      </c>
      <c r="C141" s="186">
        <v>149</v>
      </c>
      <c r="D141" s="186">
        <v>59</v>
      </c>
      <c r="E141" s="186">
        <v>457</v>
      </c>
      <c r="F141" s="186">
        <v>1957284</v>
      </c>
      <c r="G141" s="186">
        <v>2114630</v>
      </c>
      <c r="H141" s="186">
        <v>79273</v>
      </c>
      <c r="I141" s="186">
        <v>5127.5637440000046</v>
      </c>
      <c r="J141" s="186">
        <v>-155319</v>
      </c>
      <c r="K141" s="186">
        <v>2242131</v>
      </c>
      <c r="L141" s="186">
        <v>1722326</v>
      </c>
      <c r="M141" s="186">
        <v>1957284</v>
      </c>
      <c r="N141" s="186">
        <v>1957284</v>
      </c>
      <c r="O141" s="186">
        <v>38303</v>
      </c>
      <c r="P141" s="186">
        <v>61679</v>
      </c>
      <c r="Q141" s="186">
        <v>0</v>
      </c>
      <c r="R141" s="186">
        <v>0</v>
      </c>
      <c r="S141" s="186">
        <v>-176028</v>
      </c>
      <c r="T141" s="186">
        <v>81300</v>
      </c>
      <c r="U141" s="186">
        <v>0</v>
      </c>
      <c r="V141" s="186">
        <v>0</v>
      </c>
      <c r="W141" s="186">
        <v>-20709</v>
      </c>
      <c r="X141" s="186">
        <v>0</v>
      </c>
      <c r="Y141" s="186">
        <v>155319</v>
      </c>
      <c r="Z141" s="186">
        <v>0</v>
      </c>
      <c r="AA141" s="186">
        <v>0</v>
      </c>
      <c r="AB141" s="186">
        <v>-20709</v>
      </c>
      <c r="AC141" s="186">
        <v>-20709</v>
      </c>
      <c r="AD141" s="186">
        <v>-20709</v>
      </c>
      <c r="AE141" s="186">
        <v>-20709</v>
      </c>
      <c r="AF141" s="186">
        <v>-20709</v>
      </c>
      <c r="AG141" s="186">
        <v>-51774</v>
      </c>
      <c r="AH141" s="187">
        <v>8.5</v>
      </c>
    </row>
    <row r="142" spans="2:34">
      <c r="B142" s="185" t="s">
        <v>361</v>
      </c>
      <c r="C142" s="186">
        <v>150</v>
      </c>
      <c r="D142" s="186">
        <v>104</v>
      </c>
      <c r="E142" s="186">
        <v>813</v>
      </c>
      <c r="F142" s="186">
        <v>2446849</v>
      </c>
      <c r="G142" s="186">
        <v>2631516</v>
      </c>
      <c r="H142" s="186">
        <v>113425</v>
      </c>
      <c r="I142" s="186">
        <v>9960.7193850000058</v>
      </c>
      <c r="J142" s="186">
        <v>-218892</v>
      </c>
      <c r="K142" s="186">
        <v>2841033</v>
      </c>
      <c r="L142" s="186">
        <v>2125480</v>
      </c>
      <c r="M142" s="186">
        <v>2446849</v>
      </c>
      <c r="N142" s="186">
        <v>2446849</v>
      </c>
      <c r="O142" s="186">
        <v>59539</v>
      </c>
      <c r="P142" s="186">
        <v>77423</v>
      </c>
      <c r="Q142" s="186">
        <v>0</v>
      </c>
      <c r="R142" s="186">
        <v>0</v>
      </c>
      <c r="S142" s="186">
        <v>-242429</v>
      </c>
      <c r="T142" s="186">
        <v>79200</v>
      </c>
      <c r="U142" s="186">
        <v>0</v>
      </c>
      <c r="V142" s="186">
        <v>0</v>
      </c>
      <c r="W142" s="186">
        <v>-23537</v>
      </c>
      <c r="X142" s="186">
        <v>0</v>
      </c>
      <c r="Y142" s="186">
        <v>218892</v>
      </c>
      <c r="Z142" s="186">
        <v>0</v>
      </c>
      <c r="AA142" s="186">
        <v>0</v>
      </c>
      <c r="AB142" s="186">
        <v>-23537</v>
      </c>
      <c r="AC142" s="186">
        <v>-23537</v>
      </c>
      <c r="AD142" s="186">
        <v>-23537</v>
      </c>
      <c r="AE142" s="186">
        <v>-23537</v>
      </c>
      <c r="AF142" s="186">
        <v>-23537</v>
      </c>
      <c r="AG142" s="186">
        <v>-101207</v>
      </c>
      <c r="AH142" s="187">
        <v>10.3</v>
      </c>
    </row>
    <row r="143" spans="2:34">
      <c r="B143" s="185" t="s">
        <v>362</v>
      </c>
      <c r="C143" s="186">
        <v>11</v>
      </c>
      <c r="D143" s="186">
        <v>6</v>
      </c>
      <c r="E143" s="186">
        <v>68</v>
      </c>
      <c r="F143" s="186">
        <v>205812</v>
      </c>
      <c r="G143" s="186">
        <v>220282</v>
      </c>
      <c r="H143" s="186">
        <v>10263</v>
      </c>
      <c r="I143" s="186">
        <v>762.3706440000002</v>
      </c>
      <c r="J143" s="186">
        <v>-18283</v>
      </c>
      <c r="K143" s="186">
        <v>238968</v>
      </c>
      <c r="L143" s="186">
        <v>178800</v>
      </c>
      <c r="M143" s="186">
        <v>205812</v>
      </c>
      <c r="N143" s="186">
        <v>205812</v>
      </c>
      <c r="O143" s="186">
        <v>5856</v>
      </c>
      <c r="P143" s="186">
        <v>6509</v>
      </c>
      <c r="Q143" s="186">
        <v>0</v>
      </c>
      <c r="R143" s="186">
        <v>0</v>
      </c>
      <c r="S143" s="186">
        <v>-20385</v>
      </c>
      <c r="T143" s="186">
        <v>6450</v>
      </c>
      <c r="U143" s="186">
        <v>0</v>
      </c>
      <c r="V143" s="186">
        <v>0</v>
      </c>
      <c r="W143" s="186">
        <v>-2102</v>
      </c>
      <c r="X143" s="186">
        <v>0</v>
      </c>
      <c r="Y143" s="186">
        <v>18283</v>
      </c>
      <c r="Z143" s="186">
        <v>0</v>
      </c>
      <c r="AA143" s="186">
        <v>0</v>
      </c>
      <c r="AB143" s="186">
        <v>-2102</v>
      </c>
      <c r="AC143" s="186">
        <v>-2102</v>
      </c>
      <c r="AD143" s="186">
        <v>-2102</v>
      </c>
      <c r="AE143" s="186">
        <v>-2102</v>
      </c>
      <c r="AF143" s="186">
        <v>-2102</v>
      </c>
      <c r="AG143" s="186">
        <v>-7773</v>
      </c>
      <c r="AH143" s="187">
        <v>9.6999999999999993</v>
      </c>
    </row>
    <row r="144" spans="2:34">
      <c r="B144" s="185" t="s">
        <v>462</v>
      </c>
      <c r="C144" s="186">
        <v>0</v>
      </c>
      <c r="D144" s="186">
        <v>16</v>
      </c>
      <c r="E144" s="186">
        <v>89</v>
      </c>
      <c r="F144" s="186">
        <v>270957</v>
      </c>
      <c r="G144" s="186">
        <v>285588</v>
      </c>
      <c r="H144" s="186">
        <v>15879</v>
      </c>
      <c r="I144" s="186">
        <v>1021.7392150000003</v>
      </c>
      <c r="J144" s="186">
        <v>-30510</v>
      </c>
      <c r="K144" s="186">
        <v>325372</v>
      </c>
      <c r="L144" s="186">
        <v>227410</v>
      </c>
      <c r="M144" s="186">
        <v>270957</v>
      </c>
      <c r="N144" s="186">
        <v>270957</v>
      </c>
      <c r="O144" s="186">
        <v>10149</v>
      </c>
      <c r="P144" s="186">
        <v>8636</v>
      </c>
      <c r="Q144" s="186">
        <v>0</v>
      </c>
      <c r="R144" s="186">
        <v>0</v>
      </c>
      <c r="S144" s="186">
        <v>-33416</v>
      </c>
      <c r="T144" s="186">
        <v>0</v>
      </c>
      <c r="U144" s="186">
        <v>0</v>
      </c>
      <c r="V144" s="186">
        <v>0</v>
      </c>
      <c r="W144" s="186">
        <v>-2906</v>
      </c>
      <c r="X144" s="186">
        <v>0</v>
      </c>
      <c r="Y144" s="186">
        <v>30510</v>
      </c>
      <c r="Z144" s="186">
        <v>0</v>
      </c>
      <c r="AA144" s="186">
        <v>0</v>
      </c>
      <c r="AB144" s="186">
        <v>-2906</v>
      </c>
      <c r="AC144" s="186">
        <v>-2906</v>
      </c>
      <c r="AD144" s="186">
        <v>-2906</v>
      </c>
      <c r="AE144" s="186">
        <v>-2906</v>
      </c>
      <c r="AF144" s="186">
        <v>-2906</v>
      </c>
      <c r="AG144" s="186">
        <v>-15980</v>
      </c>
      <c r="AH144" s="187">
        <v>11.5</v>
      </c>
    </row>
    <row r="145" spans="2:34">
      <c r="B145" s="185" t="s">
        <v>463</v>
      </c>
      <c r="C145" s="186">
        <v>0</v>
      </c>
      <c r="D145" s="186">
        <v>205</v>
      </c>
      <c r="E145" s="186">
        <v>2269</v>
      </c>
      <c r="F145" s="186">
        <v>3721312</v>
      </c>
      <c r="G145" s="186">
        <v>3907505</v>
      </c>
      <c r="H145" s="186">
        <v>253134</v>
      </c>
      <c r="I145" s="186">
        <v>27957.294002999988</v>
      </c>
      <c r="J145" s="186">
        <v>-439327</v>
      </c>
      <c r="K145" s="186">
        <v>4499976</v>
      </c>
      <c r="L145" s="186">
        <v>3099703</v>
      </c>
      <c r="M145" s="186">
        <v>3721312</v>
      </c>
      <c r="N145" s="186">
        <v>3721312</v>
      </c>
      <c r="O145" s="186">
        <v>172865</v>
      </c>
      <c r="P145" s="186">
        <v>119147</v>
      </c>
      <c r="Q145" s="186">
        <v>0</v>
      </c>
      <c r="R145" s="186">
        <v>0</v>
      </c>
      <c r="S145" s="186">
        <v>-478205</v>
      </c>
      <c r="T145" s="186">
        <v>0</v>
      </c>
      <c r="U145" s="186">
        <v>0</v>
      </c>
      <c r="V145" s="186">
        <v>0</v>
      </c>
      <c r="W145" s="186">
        <v>-38878</v>
      </c>
      <c r="X145" s="186">
        <v>0</v>
      </c>
      <c r="Y145" s="186">
        <v>439327</v>
      </c>
      <c r="Z145" s="186">
        <v>0</v>
      </c>
      <c r="AA145" s="186">
        <v>0</v>
      </c>
      <c r="AB145" s="186">
        <v>-38878</v>
      </c>
      <c r="AC145" s="186">
        <v>-38878</v>
      </c>
      <c r="AD145" s="186">
        <v>-38878</v>
      </c>
      <c r="AE145" s="186">
        <v>-38878</v>
      </c>
      <c r="AF145" s="186">
        <v>-38878</v>
      </c>
      <c r="AG145" s="186">
        <v>-244937</v>
      </c>
      <c r="AH145" s="187">
        <v>12.3</v>
      </c>
    </row>
    <row r="146" spans="2:34">
      <c r="B146" s="185" t="s">
        <v>363</v>
      </c>
      <c r="C146" s="186">
        <v>7</v>
      </c>
      <c r="D146" s="186">
        <v>2</v>
      </c>
      <c r="E146" s="186">
        <v>27</v>
      </c>
      <c r="F146" s="186">
        <v>109548</v>
      </c>
      <c r="G146" s="186">
        <v>117155</v>
      </c>
      <c r="H146" s="186">
        <v>4875</v>
      </c>
      <c r="I146" s="186">
        <v>287.84589499999993</v>
      </c>
      <c r="J146" s="186">
        <v>-8432</v>
      </c>
      <c r="K146" s="186">
        <v>124951</v>
      </c>
      <c r="L146" s="186">
        <v>96749</v>
      </c>
      <c r="M146" s="186">
        <v>109548</v>
      </c>
      <c r="N146" s="186">
        <v>109548</v>
      </c>
      <c r="O146" s="186">
        <v>2562</v>
      </c>
      <c r="P146" s="186">
        <v>3437</v>
      </c>
      <c r="Q146" s="186">
        <v>0</v>
      </c>
      <c r="R146" s="186">
        <v>0</v>
      </c>
      <c r="S146" s="186">
        <v>-9556</v>
      </c>
      <c r="T146" s="186">
        <v>4050</v>
      </c>
      <c r="U146" s="186">
        <v>0</v>
      </c>
      <c r="V146" s="186">
        <v>0</v>
      </c>
      <c r="W146" s="186">
        <v>-1124</v>
      </c>
      <c r="X146" s="186">
        <v>0</v>
      </c>
      <c r="Y146" s="186">
        <v>8432</v>
      </c>
      <c r="Z146" s="186">
        <v>0</v>
      </c>
      <c r="AA146" s="186">
        <v>0</v>
      </c>
      <c r="AB146" s="186">
        <v>-1124</v>
      </c>
      <c r="AC146" s="186">
        <v>-1124</v>
      </c>
      <c r="AD146" s="186">
        <v>-1124</v>
      </c>
      <c r="AE146" s="186">
        <v>-1124</v>
      </c>
      <c r="AF146" s="186">
        <v>-1124</v>
      </c>
      <c r="AG146" s="186">
        <v>-2812</v>
      </c>
      <c r="AH146" s="187">
        <v>8.5</v>
      </c>
    </row>
    <row r="147" spans="2:34">
      <c r="B147" s="185" t="s">
        <v>364</v>
      </c>
      <c r="C147" s="186">
        <v>67</v>
      </c>
      <c r="D147" s="186">
        <v>13</v>
      </c>
      <c r="E147" s="186">
        <v>384</v>
      </c>
      <c r="F147" s="186">
        <v>2208646</v>
      </c>
      <c r="G147" s="186">
        <v>2351820</v>
      </c>
      <c r="H147" s="186">
        <v>116776</v>
      </c>
      <c r="I147" s="186">
        <v>4044.9403619999989</v>
      </c>
      <c r="J147" s="186">
        <v>-186450</v>
      </c>
      <c r="K147" s="186">
        <v>2548465</v>
      </c>
      <c r="L147" s="186">
        <v>1928651</v>
      </c>
      <c r="M147" s="186">
        <v>2208646</v>
      </c>
      <c r="N147" s="186">
        <v>2208646</v>
      </c>
      <c r="O147" s="186">
        <v>70426</v>
      </c>
      <c r="P147" s="186">
        <v>69656</v>
      </c>
      <c r="Q147" s="186">
        <v>0</v>
      </c>
      <c r="R147" s="186">
        <v>0</v>
      </c>
      <c r="S147" s="186">
        <v>-209756</v>
      </c>
      <c r="T147" s="186">
        <v>73500</v>
      </c>
      <c r="U147" s="186">
        <v>0</v>
      </c>
      <c r="V147" s="186">
        <v>0</v>
      </c>
      <c r="W147" s="186">
        <v>-23306</v>
      </c>
      <c r="X147" s="186">
        <v>0</v>
      </c>
      <c r="Y147" s="186">
        <v>186450</v>
      </c>
      <c r="Z147" s="186">
        <v>0</v>
      </c>
      <c r="AA147" s="186">
        <v>0</v>
      </c>
      <c r="AB147" s="186">
        <v>-23306</v>
      </c>
      <c r="AC147" s="186">
        <v>-23306</v>
      </c>
      <c r="AD147" s="186">
        <v>-23306</v>
      </c>
      <c r="AE147" s="186">
        <v>-23306</v>
      </c>
      <c r="AF147" s="186">
        <v>-23306</v>
      </c>
      <c r="AG147" s="186">
        <v>-69920</v>
      </c>
      <c r="AH147" s="187">
        <v>9</v>
      </c>
    </row>
    <row r="148" spans="2:34">
      <c r="B148" s="185" t="s">
        <v>365</v>
      </c>
      <c r="C148" s="186">
        <v>35</v>
      </c>
      <c r="D148" s="186">
        <v>10</v>
      </c>
      <c r="E148" s="186">
        <v>160</v>
      </c>
      <c r="F148" s="186">
        <v>448878</v>
      </c>
      <c r="G148" s="186">
        <v>481947</v>
      </c>
      <c r="H148" s="186">
        <v>22058</v>
      </c>
      <c r="I148" s="186">
        <v>1883.7065939999998</v>
      </c>
      <c r="J148" s="186">
        <v>-37577</v>
      </c>
      <c r="K148" s="186">
        <v>516983</v>
      </c>
      <c r="L148" s="186">
        <v>393051</v>
      </c>
      <c r="M148" s="186">
        <v>448878</v>
      </c>
      <c r="N148" s="186">
        <v>448878</v>
      </c>
      <c r="O148" s="186">
        <v>12204</v>
      </c>
      <c r="P148" s="186">
        <v>14173</v>
      </c>
      <c r="Q148" s="186">
        <v>0</v>
      </c>
      <c r="R148" s="186">
        <v>0</v>
      </c>
      <c r="S148" s="186">
        <v>-41896</v>
      </c>
      <c r="T148" s="186">
        <v>17550</v>
      </c>
      <c r="U148" s="186">
        <v>0</v>
      </c>
      <c r="V148" s="186">
        <v>0</v>
      </c>
      <c r="W148" s="186">
        <v>-4319</v>
      </c>
      <c r="X148" s="186">
        <v>0</v>
      </c>
      <c r="Y148" s="186">
        <v>37577</v>
      </c>
      <c r="Z148" s="186">
        <v>0</v>
      </c>
      <c r="AA148" s="186">
        <v>0</v>
      </c>
      <c r="AB148" s="186">
        <v>-4319</v>
      </c>
      <c r="AC148" s="186">
        <v>-4319</v>
      </c>
      <c r="AD148" s="186">
        <v>-4319</v>
      </c>
      <c r="AE148" s="186">
        <v>-4319</v>
      </c>
      <c r="AF148" s="186">
        <v>-4319</v>
      </c>
      <c r="AG148" s="186">
        <v>-15982</v>
      </c>
      <c r="AH148" s="187">
        <v>9.6999999999999993</v>
      </c>
    </row>
    <row r="149" spans="2:34">
      <c r="B149" s="185" t="s">
        <v>366</v>
      </c>
      <c r="C149" s="186">
        <v>177</v>
      </c>
      <c r="D149" s="186">
        <v>126</v>
      </c>
      <c r="E149" s="186">
        <v>1767</v>
      </c>
      <c r="F149" s="186">
        <v>8831988</v>
      </c>
      <c r="G149" s="186">
        <v>9309937</v>
      </c>
      <c r="H149" s="186">
        <v>507454</v>
      </c>
      <c r="I149" s="186">
        <v>17479.979808000011</v>
      </c>
      <c r="J149" s="186">
        <v>-806303</v>
      </c>
      <c r="K149" s="186">
        <v>10303605</v>
      </c>
      <c r="L149" s="186">
        <v>7626728</v>
      </c>
      <c r="M149" s="186">
        <v>8831988</v>
      </c>
      <c r="N149" s="186">
        <v>8831988</v>
      </c>
      <c r="O149" s="186">
        <v>329389</v>
      </c>
      <c r="P149" s="186">
        <v>278853</v>
      </c>
      <c r="Q149" s="186">
        <v>0</v>
      </c>
      <c r="R149" s="186">
        <v>0</v>
      </c>
      <c r="S149" s="186">
        <v>-907091</v>
      </c>
      <c r="T149" s="186">
        <v>179100</v>
      </c>
      <c r="U149" s="186">
        <v>0</v>
      </c>
      <c r="V149" s="186">
        <v>0</v>
      </c>
      <c r="W149" s="186">
        <v>-100788</v>
      </c>
      <c r="X149" s="186">
        <v>0</v>
      </c>
      <c r="Y149" s="186">
        <v>806303</v>
      </c>
      <c r="Z149" s="186">
        <v>0</v>
      </c>
      <c r="AA149" s="186">
        <v>0</v>
      </c>
      <c r="AB149" s="186">
        <v>-100788</v>
      </c>
      <c r="AC149" s="186">
        <v>-100788</v>
      </c>
      <c r="AD149" s="186">
        <v>-100788</v>
      </c>
      <c r="AE149" s="186">
        <v>-100788</v>
      </c>
      <c r="AF149" s="186">
        <v>-100788</v>
      </c>
      <c r="AG149" s="186">
        <v>-302363</v>
      </c>
      <c r="AH149" s="187">
        <v>9</v>
      </c>
    </row>
    <row r="150" spans="2:34">
      <c r="B150" s="185" t="s">
        <v>464</v>
      </c>
      <c r="C150" s="186">
        <v>0</v>
      </c>
      <c r="D150" s="186">
        <v>656</v>
      </c>
      <c r="E150" s="186">
        <v>4428</v>
      </c>
      <c r="F150" s="186">
        <v>11541366</v>
      </c>
      <c r="G150" s="186">
        <v>12083416</v>
      </c>
      <c r="H150" s="186">
        <v>723232</v>
      </c>
      <c r="I150" s="186">
        <v>50486.534529000099</v>
      </c>
      <c r="J150" s="186">
        <v>-1265282</v>
      </c>
      <c r="K150" s="186">
        <v>13797683</v>
      </c>
      <c r="L150" s="186">
        <v>9723531</v>
      </c>
      <c r="M150" s="186">
        <v>11541366</v>
      </c>
      <c r="N150" s="186">
        <v>11541366</v>
      </c>
      <c r="O150" s="186">
        <v>478098</v>
      </c>
      <c r="P150" s="186">
        <v>366796</v>
      </c>
      <c r="Q150" s="186">
        <v>0</v>
      </c>
      <c r="R150" s="186">
        <v>0</v>
      </c>
      <c r="S150" s="186">
        <v>-1386944</v>
      </c>
      <c r="T150" s="186">
        <v>0</v>
      </c>
      <c r="U150" s="186">
        <v>0</v>
      </c>
      <c r="V150" s="186">
        <v>0</v>
      </c>
      <c r="W150" s="186">
        <v>-121662</v>
      </c>
      <c r="X150" s="186">
        <v>0</v>
      </c>
      <c r="Y150" s="186">
        <v>1265282</v>
      </c>
      <c r="Z150" s="186">
        <v>0</v>
      </c>
      <c r="AA150" s="186">
        <v>0</v>
      </c>
      <c r="AB150" s="186">
        <v>-121662</v>
      </c>
      <c r="AC150" s="186">
        <v>-121662</v>
      </c>
      <c r="AD150" s="186">
        <v>-121662</v>
      </c>
      <c r="AE150" s="186">
        <v>-121662</v>
      </c>
      <c r="AF150" s="186">
        <v>-121662</v>
      </c>
      <c r="AG150" s="186">
        <v>-656972</v>
      </c>
      <c r="AH150" s="187">
        <v>11.4</v>
      </c>
    </row>
    <row r="151" spans="2:34">
      <c r="B151" s="185" t="s">
        <v>465</v>
      </c>
      <c r="C151" s="186">
        <v>0</v>
      </c>
      <c r="D151" s="186">
        <v>72</v>
      </c>
      <c r="E151" s="186">
        <v>645</v>
      </c>
      <c r="F151" s="186">
        <v>1542548</v>
      </c>
      <c r="G151" s="186">
        <v>1622401</v>
      </c>
      <c r="H151" s="186">
        <v>103823</v>
      </c>
      <c r="I151" s="186">
        <v>7460.5158799999981</v>
      </c>
      <c r="J151" s="186">
        <v>-183676</v>
      </c>
      <c r="K151" s="186">
        <v>1869911</v>
      </c>
      <c r="L151" s="186">
        <v>1281020</v>
      </c>
      <c r="M151" s="186">
        <v>1542548</v>
      </c>
      <c r="N151" s="186">
        <v>1542548</v>
      </c>
      <c r="O151" s="186">
        <v>71684</v>
      </c>
      <c r="P151" s="186">
        <v>49467</v>
      </c>
      <c r="Q151" s="186">
        <v>0</v>
      </c>
      <c r="R151" s="186">
        <v>0</v>
      </c>
      <c r="S151" s="186">
        <v>-201004</v>
      </c>
      <c r="T151" s="186">
        <v>0</v>
      </c>
      <c r="U151" s="186">
        <v>0</v>
      </c>
      <c r="V151" s="186">
        <v>0</v>
      </c>
      <c r="W151" s="186">
        <v>-17328</v>
      </c>
      <c r="X151" s="186">
        <v>0</v>
      </c>
      <c r="Y151" s="186">
        <v>183676</v>
      </c>
      <c r="Z151" s="186">
        <v>0</v>
      </c>
      <c r="AA151" s="186">
        <v>0</v>
      </c>
      <c r="AB151" s="186">
        <v>-17328</v>
      </c>
      <c r="AC151" s="186">
        <v>-17328</v>
      </c>
      <c r="AD151" s="186">
        <v>-17328</v>
      </c>
      <c r="AE151" s="186">
        <v>-17328</v>
      </c>
      <c r="AF151" s="186">
        <v>-17328</v>
      </c>
      <c r="AG151" s="186">
        <v>-97036</v>
      </c>
      <c r="AH151" s="187">
        <v>11.6</v>
      </c>
    </row>
    <row r="152" spans="2:34">
      <c r="B152" s="185" t="s">
        <v>367</v>
      </c>
      <c r="C152" s="186">
        <v>53</v>
      </c>
      <c r="D152" s="186">
        <v>21</v>
      </c>
      <c r="E152" s="186">
        <v>225</v>
      </c>
      <c r="F152" s="186">
        <v>788951</v>
      </c>
      <c r="G152" s="186">
        <v>849435</v>
      </c>
      <c r="H152" s="186">
        <v>35710</v>
      </c>
      <c r="I152" s="186">
        <v>2713.7453220000002</v>
      </c>
      <c r="J152" s="186">
        <v>-66944</v>
      </c>
      <c r="K152" s="186">
        <v>909726</v>
      </c>
      <c r="L152" s="186">
        <v>690034</v>
      </c>
      <c r="M152" s="186">
        <v>788951</v>
      </c>
      <c r="N152" s="186">
        <v>788951</v>
      </c>
      <c r="O152" s="186">
        <v>18403</v>
      </c>
      <c r="P152" s="186">
        <v>24914</v>
      </c>
      <c r="Q152" s="186">
        <v>0</v>
      </c>
      <c r="R152" s="186">
        <v>0</v>
      </c>
      <c r="S152" s="186">
        <v>-74551</v>
      </c>
      <c r="T152" s="186">
        <v>29250</v>
      </c>
      <c r="U152" s="186">
        <v>0</v>
      </c>
      <c r="V152" s="186">
        <v>0</v>
      </c>
      <c r="W152" s="186">
        <v>-7607</v>
      </c>
      <c r="X152" s="186">
        <v>0</v>
      </c>
      <c r="Y152" s="186">
        <v>66944</v>
      </c>
      <c r="Z152" s="186">
        <v>0</v>
      </c>
      <c r="AA152" s="186">
        <v>0</v>
      </c>
      <c r="AB152" s="186">
        <v>-7607</v>
      </c>
      <c r="AC152" s="186">
        <v>-7607</v>
      </c>
      <c r="AD152" s="186">
        <v>-7607</v>
      </c>
      <c r="AE152" s="186">
        <v>-7607</v>
      </c>
      <c r="AF152" s="186">
        <v>-7607</v>
      </c>
      <c r="AG152" s="186">
        <v>-28909</v>
      </c>
      <c r="AH152" s="187">
        <v>9.8000000000000007</v>
      </c>
    </row>
    <row r="153" spans="2:34">
      <c r="B153" s="185" t="s">
        <v>368</v>
      </c>
      <c r="C153" s="186">
        <v>40</v>
      </c>
      <c r="D153" s="186">
        <v>9</v>
      </c>
      <c r="E153" s="186">
        <v>179</v>
      </c>
      <c r="F153" s="186">
        <v>559044</v>
      </c>
      <c r="G153" s="186">
        <v>600358</v>
      </c>
      <c r="H153" s="186">
        <v>26707</v>
      </c>
      <c r="I153" s="186">
        <v>1851.6175109999983</v>
      </c>
      <c r="J153" s="186">
        <v>-46871</v>
      </c>
      <c r="K153" s="186">
        <v>645105</v>
      </c>
      <c r="L153" s="186">
        <v>488415</v>
      </c>
      <c r="M153" s="186">
        <v>559044</v>
      </c>
      <c r="N153" s="186">
        <v>559044</v>
      </c>
      <c r="O153" s="186">
        <v>15289</v>
      </c>
      <c r="P153" s="186">
        <v>17668</v>
      </c>
      <c r="Q153" s="186">
        <v>0</v>
      </c>
      <c r="R153" s="186">
        <v>0</v>
      </c>
      <c r="S153" s="186">
        <v>-53121</v>
      </c>
      <c r="T153" s="186">
        <v>21150</v>
      </c>
      <c r="U153" s="186">
        <v>0</v>
      </c>
      <c r="V153" s="186">
        <v>0</v>
      </c>
      <c r="W153" s="186">
        <v>-6250</v>
      </c>
      <c r="X153" s="186">
        <v>0</v>
      </c>
      <c r="Y153" s="186">
        <v>46871</v>
      </c>
      <c r="Z153" s="186">
        <v>0</v>
      </c>
      <c r="AA153" s="186">
        <v>0</v>
      </c>
      <c r="AB153" s="186">
        <v>-6250</v>
      </c>
      <c r="AC153" s="186">
        <v>-6250</v>
      </c>
      <c r="AD153" s="186">
        <v>-6250</v>
      </c>
      <c r="AE153" s="186">
        <v>-6250</v>
      </c>
      <c r="AF153" s="186">
        <v>-6250</v>
      </c>
      <c r="AG153" s="186">
        <v>-15621</v>
      </c>
      <c r="AH153" s="187">
        <v>8.5</v>
      </c>
    </row>
    <row r="154" spans="2:34">
      <c r="B154" s="185" t="s">
        <v>369</v>
      </c>
      <c r="C154" s="186">
        <v>503</v>
      </c>
      <c r="D154" s="186">
        <v>230</v>
      </c>
      <c r="E154" s="186">
        <v>1058</v>
      </c>
      <c r="F154" s="186">
        <v>48311290</v>
      </c>
      <c r="G154" s="186">
        <v>50298040</v>
      </c>
      <c r="H154" s="186">
        <v>3490474</v>
      </c>
      <c r="I154" s="186">
        <v>10892.748959999999</v>
      </c>
      <c r="J154" s="186">
        <v>-4632622</v>
      </c>
      <c r="K154" s="186">
        <v>57060267</v>
      </c>
      <c r="L154" s="186">
        <v>41113415</v>
      </c>
      <c r="M154" s="186">
        <v>39792996</v>
      </c>
      <c r="N154" s="186">
        <v>59454032</v>
      </c>
      <c r="O154" s="186">
        <v>2726590</v>
      </c>
      <c r="P154" s="186">
        <v>1535988</v>
      </c>
      <c r="Q154" s="186">
        <v>0</v>
      </c>
      <c r="R154" s="186">
        <v>0</v>
      </c>
      <c r="S154" s="186">
        <v>-5404726</v>
      </c>
      <c r="T154" s="186">
        <v>844602</v>
      </c>
      <c r="U154" s="186">
        <v>0</v>
      </c>
      <c r="V154" s="186">
        <v>0</v>
      </c>
      <c r="W154" s="186">
        <v>-772104</v>
      </c>
      <c r="X154" s="186">
        <v>0</v>
      </c>
      <c r="Y154" s="186">
        <v>4632622</v>
      </c>
      <c r="Z154" s="186">
        <v>0</v>
      </c>
      <c r="AA154" s="186">
        <v>0</v>
      </c>
      <c r="AB154" s="186">
        <v>-772104</v>
      </c>
      <c r="AC154" s="186">
        <v>-772104</v>
      </c>
      <c r="AD154" s="186">
        <v>-772104</v>
      </c>
      <c r="AE154" s="186">
        <v>-772104</v>
      </c>
      <c r="AF154" s="186">
        <v>-772104</v>
      </c>
      <c r="AG154" s="186">
        <v>-772102</v>
      </c>
      <c r="AH154" s="187">
        <v>7</v>
      </c>
    </row>
    <row r="155" spans="2:34">
      <c r="B155" s="185" t="s">
        <v>370</v>
      </c>
      <c r="C155" s="186">
        <v>298</v>
      </c>
      <c r="D155" s="186">
        <v>201</v>
      </c>
      <c r="E155" s="186">
        <v>1731</v>
      </c>
      <c r="F155" s="186">
        <v>21500214</v>
      </c>
      <c r="G155" s="186">
        <v>22819472</v>
      </c>
      <c r="H155" s="186">
        <v>1205226</v>
      </c>
      <c r="I155" s="186">
        <v>20392.214537000033</v>
      </c>
      <c r="J155" s="186">
        <v>-1964192</v>
      </c>
      <c r="K155" s="186">
        <v>25036678</v>
      </c>
      <c r="L155" s="186">
        <v>18605895</v>
      </c>
      <c r="M155" s="186">
        <v>21500214</v>
      </c>
      <c r="N155" s="186">
        <v>21500214</v>
      </c>
      <c r="O155" s="186">
        <v>741277</v>
      </c>
      <c r="P155" s="186">
        <v>679794</v>
      </c>
      <c r="Q155" s="186">
        <v>0</v>
      </c>
      <c r="R155" s="186">
        <v>0</v>
      </c>
      <c r="S155" s="186">
        <v>-2180037</v>
      </c>
      <c r="T155" s="186">
        <v>560292</v>
      </c>
      <c r="U155" s="186">
        <v>0</v>
      </c>
      <c r="V155" s="186">
        <v>0</v>
      </c>
      <c r="W155" s="186">
        <v>-215845</v>
      </c>
      <c r="X155" s="186">
        <v>0</v>
      </c>
      <c r="Y155" s="186">
        <v>1964192</v>
      </c>
      <c r="Z155" s="186">
        <v>0</v>
      </c>
      <c r="AA155" s="186">
        <v>0</v>
      </c>
      <c r="AB155" s="186">
        <v>-215845</v>
      </c>
      <c r="AC155" s="186">
        <v>-215845</v>
      </c>
      <c r="AD155" s="186">
        <v>-215845</v>
      </c>
      <c r="AE155" s="186">
        <v>-215845</v>
      </c>
      <c r="AF155" s="186">
        <v>-215845</v>
      </c>
      <c r="AG155" s="186">
        <v>-884967</v>
      </c>
      <c r="AH155" s="187">
        <v>10.1</v>
      </c>
    </row>
    <row r="156" spans="2:34">
      <c r="B156" s="185" t="s">
        <v>371</v>
      </c>
      <c r="C156" s="186">
        <v>19</v>
      </c>
      <c r="D156" s="186">
        <v>8</v>
      </c>
      <c r="E156" s="186">
        <v>107</v>
      </c>
      <c r="F156" s="186">
        <v>302580</v>
      </c>
      <c r="G156" s="186">
        <v>323584</v>
      </c>
      <c r="H156" s="186">
        <v>15526</v>
      </c>
      <c r="I156" s="186">
        <v>1160.3854009999995</v>
      </c>
      <c r="J156" s="186">
        <v>-27830</v>
      </c>
      <c r="K156" s="186">
        <v>353155</v>
      </c>
      <c r="L156" s="186">
        <v>261210</v>
      </c>
      <c r="M156" s="186">
        <v>302580</v>
      </c>
      <c r="N156" s="186">
        <v>302580</v>
      </c>
      <c r="O156" s="186">
        <v>9326</v>
      </c>
      <c r="P156" s="186">
        <v>9594</v>
      </c>
      <c r="Q156" s="186">
        <v>0</v>
      </c>
      <c r="R156" s="186">
        <v>0</v>
      </c>
      <c r="S156" s="186">
        <v>-31224</v>
      </c>
      <c r="T156" s="186">
        <v>8700</v>
      </c>
      <c r="U156" s="186">
        <v>0</v>
      </c>
      <c r="V156" s="186">
        <v>0</v>
      </c>
      <c r="W156" s="186">
        <v>-3394</v>
      </c>
      <c r="X156" s="186">
        <v>0</v>
      </c>
      <c r="Y156" s="186">
        <v>27830</v>
      </c>
      <c r="Z156" s="186">
        <v>0</v>
      </c>
      <c r="AA156" s="186">
        <v>0</v>
      </c>
      <c r="AB156" s="186">
        <v>-3394</v>
      </c>
      <c r="AC156" s="186">
        <v>-3394</v>
      </c>
      <c r="AD156" s="186">
        <v>-3394</v>
      </c>
      <c r="AE156" s="186">
        <v>-3394</v>
      </c>
      <c r="AF156" s="186">
        <v>-3394</v>
      </c>
      <c r="AG156" s="186">
        <v>-10860</v>
      </c>
      <c r="AH156" s="187">
        <v>9.1999999999999993</v>
      </c>
    </row>
    <row r="157" spans="2:34">
      <c r="B157" s="185" t="s">
        <v>372</v>
      </c>
      <c r="C157" s="186">
        <v>3411</v>
      </c>
      <c r="D157" s="186">
        <v>114</v>
      </c>
      <c r="E157" s="186">
        <v>3</v>
      </c>
      <c r="F157" s="186">
        <v>17571915</v>
      </c>
      <c r="G157" s="186">
        <v>19545348</v>
      </c>
      <c r="H157" s="186">
        <v>-481383</v>
      </c>
      <c r="I157" s="186">
        <v>21.682102999999998</v>
      </c>
      <c r="J157" s="186">
        <v>0</v>
      </c>
      <c r="K157" s="186">
        <v>19229635</v>
      </c>
      <c r="L157" s="186">
        <v>16149760</v>
      </c>
      <c r="M157" s="186">
        <v>17571915</v>
      </c>
      <c r="N157" s="186">
        <v>17571915</v>
      </c>
      <c r="O157" s="186">
        <v>382</v>
      </c>
      <c r="P157" s="186">
        <v>548951</v>
      </c>
      <c r="Q157" s="186">
        <v>0</v>
      </c>
      <c r="R157" s="186">
        <v>0</v>
      </c>
      <c r="S157" s="186">
        <v>-1030716</v>
      </c>
      <c r="T157" s="186">
        <v>1492050</v>
      </c>
      <c r="U157" s="186">
        <v>0</v>
      </c>
      <c r="V157" s="186">
        <v>0</v>
      </c>
      <c r="W157" s="186">
        <v>-1030716</v>
      </c>
      <c r="X157" s="186">
        <v>0</v>
      </c>
      <c r="Y157" s="186">
        <v>0</v>
      </c>
      <c r="Z157" s="186">
        <v>0</v>
      </c>
      <c r="AA157" s="186">
        <v>0</v>
      </c>
      <c r="AB157" s="186">
        <v>0</v>
      </c>
      <c r="AC157" s="186">
        <v>0</v>
      </c>
      <c r="AD157" s="186">
        <v>0</v>
      </c>
      <c r="AE157" s="186">
        <v>0</v>
      </c>
      <c r="AF157" s="186">
        <v>0</v>
      </c>
      <c r="AG157" s="186">
        <v>0</v>
      </c>
      <c r="AH157" s="187">
        <v>1</v>
      </c>
    </row>
    <row r="158" spans="2:34">
      <c r="B158" s="185" t="s">
        <v>373</v>
      </c>
      <c r="C158" s="186">
        <v>124</v>
      </c>
      <c r="D158" s="186">
        <v>40</v>
      </c>
      <c r="E158" s="186">
        <v>761</v>
      </c>
      <c r="F158" s="186">
        <v>2006396</v>
      </c>
      <c r="G158" s="186">
        <v>2149469</v>
      </c>
      <c r="H158" s="186">
        <v>104622</v>
      </c>
      <c r="I158" s="186">
        <v>9027.3370369999957</v>
      </c>
      <c r="J158" s="186">
        <v>-181695</v>
      </c>
      <c r="K158" s="186">
        <v>2333211</v>
      </c>
      <c r="L158" s="186">
        <v>1740132</v>
      </c>
      <c r="M158" s="186">
        <v>2006396</v>
      </c>
      <c r="N158" s="186">
        <v>2006396</v>
      </c>
      <c r="O158" s="186">
        <v>60796</v>
      </c>
      <c r="P158" s="186">
        <v>63576</v>
      </c>
      <c r="Q158" s="186">
        <v>0</v>
      </c>
      <c r="R158" s="186">
        <v>0</v>
      </c>
      <c r="S158" s="186">
        <v>-201445</v>
      </c>
      <c r="T158" s="186">
        <v>66000</v>
      </c>
      <c r="U158" s="186">
        <v>0</v>
      </c>
      <c r="V158" s="186">
        <v>0</v>
      </c>
      <c r="W158" s="186">
        <v>-19750</v>
      </c>
      <c r="X158" s="186">
        <v>0</v>
      </c>
      <c r="Y158" s="186">
        <v>181695</v>
      </c>
      <c r="Z158" s="186">
        <v>0</v>
      </c>
      <c r="AA158" s="186">
        <v>0</v>
      </c>
      <c r="AB158" s="186">
        <v>-19750</v>
      </c>
      <c r="AC158" s="186">
        <v>-19750</v>
      </c>
      <c r="AD158" s="186">
        <v>-19750</v>
      </c>
      <c r="AE158" s="186">
        <v>-19750</v>
      </c>
      <c r="AF158" s="186">
        <v>-19750</v>
      </c>
      <c r="AG158" s="186">
        <v>-82945</v>
      </c>
      <c r="AH158" s="187">
        <v>10.199999999999999</v>
      </c>
    </row>
    <row r="159" spans="2:34">
      <c r="B159" s="185" t="s">
        <v>374</v>
      </c>
      <c r="C159" s="186">
        <v>46</v>
      </c>
      <c r="D159" s="186">
        <v>13</v>
      </c>
      <c r="E159" s="186">
        <v>83</v>
      </c>
      <c r="F159" s="186">
        <v>475701</v>
      </c>
      <c r="G159" s="186">
        <v>518000</v>
      </c>
      <c r="H159" s="186">
        <v>16383</v>
      </c>
      <c r="I159" s="186">
        <v>960.78720599999997</v>
      </c>
      <c r="J159" s="186">
        <v>-34082</v>
      </c>
      <c r="K159" s="186">
        <v>539392</v>
      </c>
      <c r="L159" s="186">
        <v>423075</v>
      </c>
      <c r="M159" s="186">
        <v>475701</v>
      </c>
      <c r="N159" s="186">
        <v>475701</v>
      </c>
      <c r="O159" s="186">
        <v>6745</v>
      </c>
      <c r="P159" s="186">
        <v>14963</v>
      </c>
      <c r="Q159" s="186">
        <v>0</v>
      </c>
      <c r="R159" s="186">
        <v>0</v>
      </c>
      <c r="S159" s="186">
        <v>-39407</v>
      </c>
      <c r="T159" s="186">
        <v>24600</v>
      </c>
      <c r="U159" s="186">
        <v>0</v>
      </c>
      <c r="V159" s="186">
        <v>0</v>
      </c>
      <c r="W159" s="186">
        <v>-5325</v>
      </c>
      <c r="X159" s="186">
        <v>0</v>
      </c>
      <c r="Y159" s="186">
        <v>34082</v>
      </c>
      <c r="Z159" s="186">
        <v>0</v>
      </c>
      <c r="AA159" s="186">
        <v>0</v>
      </c>
      <c r="AB159" s="186">
        <v>-5325</v>
      </c>
      <c r="AC159" s="186">
        <v>-5325</v>
      </c>
      <c r="AD159" s="186">
        <v>-5325</v>
      </c>
      <c r="AE159" s="186">
        <v>-5325</v>
      </c>
      <c r="AF159" s="186">
        <v>-5325</v>
      </c>
      <c r="AG159" s="186">
        <v>-7457</v>
      </c>
      <c r="AH159" s="187">
        <v>7.4</v>
      </c>
    </row>
    <row r="160" spans="2:34">
      <c r="B160" s="185" t="s">
        <v>375</v>
      </c>
      <c r="C160" s="186">
        <v>1</v>
      </c>
      <c r="D160" s="186">
        <v>0</v>
      </c>
      <c r="E160" s="186">
        <v>0</v>
      </c>
      <c r="F160" s="186">
        <v>4410</v>
      </c>
      <c r="G160" s="186">
        <v>4923</v>
      </c>
      <c r="H160" s="186">
        <v>-63</v>
      </c>
      <c r="I160" s="186">
        <v>0</v>
      </c>
      <c r="J160" s="186">
        <v>0</v>
      </c>
      <c r="K160" s="186">
        <v>4729</v>
      </c>
      <c r="L160" s="186">
        <v>4127</v>
      </c>
      <c r="M160" s="186">
        <v>4410</v>
      </c>
      <c r="N160" s="186">
        <v>4410</v>
      </c>
      <c r="O160" s="186">
        <v>0</v>
      </c>
      <c r="P160" s="186">
        <v>137</v>
      </c>
      <c r="Q160" s="186">
        <v>0</v>
      </c>
      <c r="R160" s="186">
        <v>0</v>
      </c>
      <c r="S160" s="186">
        <v>-200</v>
      </c>
      <c r="T160" s="186">
        <v>450</v>
      </c>
      <c r="U160" s="186">
        <v>0</v>
      </c>
      <c r="V160" s="186">
        <v>0</v>
      </c>
      <c r="W160" s="186">
        <v>-200</v>
      </c>
      <c r="X160" s="186">
        <v>0</v>
      </c>
      <c r="Y160" s="186">
        <v>0</v>
      </c>
      <c r="Z160" s="186">
        <v>0</v>
      </c>
      <c r="AA160" s="186">
        <v>0</v>
      </c>
      <c r="AB160" s="186">
        <v>0</v>
      </c>
      <c r="AC160" s="186">
        <v>0</v>
      </c>
      <c r="AD160" s="186">
        <v>0</v>
      </c>
      <c r="AE160" s="186">
        <v>0</v>
      </c>
      <c r="AF160" s="186">
        <v>0</v>
      </c>
      <c r="AG160" s="186">
        <v>0</v>
      </c>
      <c r="AH160" s="187">
        <v>1</v>
      </c>
    </row>
    <row r="161" spans="2:34">
      <c r="B161" s="185" t="s">
        <v>376</v>
      </c>
      <c r="C161" s="186">
        <v>0</v>
      </c>
      <c r="D161" s="186">
        <v>0</v>
      </c>
      <c r="E161" s="186">
        <v>0</v>
      </c>
      <c r="F161" s="186">
        <v>0</v>
      </c>
      <c r="G161" s="186">
        <v>0</v>
      </c>
      <c r="H161" s="186">
        <v>0</v>
      </c>
      <c r="I161" s="186">
        <v>0</v>
      </c>
      <c r="J161" s="186">
        <v>0</v>
      </c>
      <c r="K161" s="186">
        <v>0</v>
      </c>
      <c r="L161" s="186">
        <v>0</v>
      </c>
      <c r="M161" s="186">
        <v>0</v>
      </c>
      <c r="N161" s="186">
        <v>0</v>
      </c>
      <c r="O161" s="186">
        <v>0</v>
      </c>
      <c r="P161" s="186">
        <v>0</v>
      </c>
      <c r="Q161" s="186">
        <v>0</v>
      </c>
      <c r="R161" s="186">
        <v>0</v>
      </c>
      <c r="S161" s="186">
        <v>0</v>
      </c>
      <c r="T161" s="186">
        <v>0</v>
      </c>
      <c r="U161" s="186">
        <v>0</v>
      </c>
      <c r="V161" s="186">
        <v>0</v>
      </c>
      <c r="W161" s="186">
        <v>0</v>
      </c>
      <c r="X161" s="186">
        <v>0</v>
      </c>
      <c r="Y161" s="186">
        <v>0</v>
      </c>
      <c r="Z161" s="186">
        <v>0</v>
      </c>
      <c r="AA161" s="186">
        <v>0</v>
      </c>
      <c r="AB161" s="186">
        <v>0</v>
      </c>
      <c r="AC161" s="186">
        <v>0</v>
      </c>
      <c r="AD161" s="186">
        <v>0</v>
      </c>
      <c r="AE161" s="186">
        <v>0</v>
      </c>
      <c r="AF161" s="186">
        <v>0</v>
      </c>
      <c r="AG161" s="186">
        <v>0</v>
      </c>
      <c r="AH161" s="187">
        <v>1</v>
      </c>
    </row>
    <row r="162" spans="2:34">
      <c r="B162" s="185" t="s">
        <v>377</v>
      </c>
      <c r="C162" s="186">
        <v>17</v>
      </c>
      <c r="D162" s="186">
        <v>6</v>
      </c>
      <c r="E162" s="186">
        <v>88</v>
      </c>
      <c r="F162" s="186">
        <v>255089</v>
      </c>
      <c r="G162" s="186">
        <v>273570</v>
      </c>
      <c r="H162" s="186">
        <v>12263</v>
      </c>
      <c r="I162" s="186">
        <v>1115.5678979999998</v>
      </c>
      <c r="J162" s="186">
        <v>-21594</v>
      </c>
      <c r="K162" s="186">
        <v>293770</v>
      </c>
      <c r="L162" s="186">
        <v>223310</v>
      </c>
      <c r="M162" s="186">
        <v>255089</v>
      </c>
      <c r="N162" s="186">
        <v>255089</v>
      </c>
      <c r="O162" s="186">
        <v>6468</v>
      </c>
      <c r="P162" s="186">
        <v>8044</v>
      </c>
      <c r="Q162" s="186">
        <v>0</v>
      </c>
      <c r="R162" s="186">
        <v>0</v>
      </c>
      <c r="S162" s="186">
        <v>-23843</v>
      </c>
      <c r="T162" s="186">
        <v>9150</v>
      </c>
      <c r="U162" s="186">
        <v>0</v>
      </c>
      <c r="V162" s="186">
        <v>0</v>
      </c>
      <c r="W162" s="186">
        <v>-2249</v>
      </c>
      <c r="X162" s="186">
        <v>0</v>
      </c>
      <c r="Y162" s="186">
        <v>21594</v>
      </c>
      <c r="Z162" s="186">
        <v>0</v>
      </c>
      <c r="AA162" s="186">
        <v>0</v>
      </c>
      <c r="AB162" s="186">
        <v>-2249</v>
      </c>
      <c r="AC162" s="186">
        <v>-2249</v>
      </c>
      <c r="AD162" s="186">
        <v>-2249</v>
      </c>
      <c r="AE162" s="186">
        <v>-2249</v>
      </c>
      <c r="AF162" s="186">
        <v>-2249</v>
      </c>
      <c r="AG162" s="186">
        <v>-10349</v>
      </c>
      <c r="AH162" s="187">
        <v>10.6</v>
      </c>
    </row>
    <row r="163" spans="2:34">
      <c r="B163" s="185" t="s">
        <v>378</v>
      </c>
      <c r="C163" s="186">
        <v>123</v>
      </c>
      <c r="D163" s="186">
        <v>28</v>
      </c>
      <c r="E163" s="186">
        <v>240</v>
      </c>
      <c r="F163" s="186">
        <v>1221940</v>
      </c>
      <c r="G163" s="186">
        <v>1324488</v>
      </c>
      <c r="H163" s="186">
        <v>45180</v>
      </c>
      <c r="I163" s="186">
        <v>2549.8098449999979</v>
      </c>
      <c r="J163" s="186">
        <v>-85178</v>
      </c>
      <c r="K163" s="186">
        <v>1382740</v>
      </c>
      <c r="L163" s="186">
        <v>1087838</v>
      </c>
      <c r="M163" s="186">
        <v>1221940</v>
      </c>
      <c r="N163" s="186">
        <v>1221940</v>
      </c>
      <c r="O163" s="186">
        <v>21001</v>
      </c>
      <c r="P163" s="186">
        <v>38375</v>
      </c>
      <c r="Q163" s="186">
        <v>0</v>
      </c>
      <c r="R163" s="186">
        <v>0</v>
      </c>
      <c r="S163" s="186">
        <v>-99374</v>
      </c>
      <c r="T163" s="186">
        <v>62550</v>
      </c>
      <c r="U163" s="186">
        <v>0</v>
      </c>
      <c r="V163" s="186">
        <v>0</v>
      </c>
      <c r="W163" s="186">
        <v>-14196</v>
      </c>
      <c r="X163" s="186">
        <v>0</v>
      </c>
      <c r="Y163" s="186">
        <v>85178</v>
      </c>
      <c r="Z163" s="186">
        <v>0</v>
      </c>
      <c r="AA163" s="186">
        <v>0</v>
      </c>
      <c r="AB163" s="186">
        <v>-14196</v>
      </c>
      <c r="AC163" s="186">
        <v>-14196</v>
      </c>
      <c r="AD163" s="186">
        <v>-14196</v>
      </c>
      <c r="AE163" s="186">
        <v>-14196</v>
      </c>
      <c r="AF163" s="186">
        <v>-14196</v>
      </c>
      <c r="AG163" s="186">
        <v>-14198</v>
      </c>
      <c r="AH163" s="187">
        <v>7</v>
      </c>
    </row>
    <row r="164" spans="2:34">
      <c r="B164" s="185" t="s">
        <v>379</v>
      </c>
      <c r="C164" s="186">
        <v>59</v>
      </c>
      <c r="D164" s="186">
        <v>19</v>
      </c>
      <c r="E164" s="186">
        <v>190</v>
      </c>
      <c r="F164" s="186">
        <v>705798</v>
      </c>
      <c r="G164" s="186">
        <v>763004</v>
      </c>
      <c r="H164" s="186">
        <v>30523</v>
      </c>
      <c r="I164" s="186">
        <v>2314.205871000001</v>
      </c>
      <c r="J164" s="186">
        <v>-56079</v>
      </c>
      <c r="K164" s="186">
        <v>807390</v>
      </c>
      <c r="L164" s="186">
        <v>622254</v>
      </c>
      <c r="M164" s="186">
        <v>705798</v>
      </c>
      <c r="N164" s="186">
        <v>705798</v>
      </c>
      <c r="O164" s="186">
        <v>15024</v>
      </c>
      <c r="P164" s="186">
        <v>22256</v>
      </c>
      <c r="Q164" s="186">
        <v>0</v>
      </c>
      <c r="R164" s="186">
        <v>0</v>
      </c>
      <c r="S164" s="186">
        <v>-62836</v>
      </c>
      <c r="T164" s="186">
        <v>31650</v>
      </c>
      <c r="U164" s="186">
        <v>0</v>
      </c>
      <c r="V164" s="186">
        <v>0</v>
      </c>
      <c r="W164" s="186">
        <v>-6757</v>
      </c>
      <c r="X164" s="186">
        <v>0</v>
      </c>
      <c r="Y164" s="186">
        <v>56079</v>
      </c>
      <c r="Z164" s="186">
        <v>0</v>
      </c>
      <c r="AA164" s="186">
        <v>0</v>
      </c>
      <c r="AB164" s="186">
        <v>-6757</v>
      </c>
      <c r="AC164" s="186">
        <v>-6757</v>
      </c>
      <c r="AD164" s="186">
        <v>-6757</v>
      </c>
      <c r="AE164" s="186">
        <v>-6757</v>
      </c>
      <c r="AF164" s="186">
        <v>-6757</v>
      </c>
      <c r="AG164" s="186">
        <v>-22294</v>
      </c>
      <c r="AH164" s="187">
        <v>9.3000000000000007</v>
      </c>
    </row>
    <row r="165" spans="2:34">
      <c r="B165" s="185" t="s">
        <v>380</v>
      </c>
      <c r="C165" s="186">
        <v>66</v>
      </c>
      <c r="D165" s="186">
        <v>6</v>
      </c>
      <c r="E165" s="186">
        <v>362</v>
      </c>
      <c r="F165" s="186">
        <v>592159</v>
      </c>
      <c r="G165" s="186">
        <v>645125</v>
      </c>
      <c r="H165" s="186">
        <v>22966</v>
      </c>
      <c r="I165" s="186">
        <v>3871.585385999997</v>
      </c>
      <c r="J165" s="186">
        <v>-41432</v>
      </c>
      <c r="K165" s="186">
        <v>667540</v>
      </c>
      <c r="L165" s="186">
        <v>529460</v>
      </c>
      <c r="M165" s="186">
        <v>592159</v>
      </c>
      <c r="N165" s="186">
        <v>592159</v>
      </c>
      <c r="O165" s="186">
        <v>9533</v>
      </c>
      <c r="P165" s="186">
        <v>18612</v>
      </c>
      <c r="Q165" s="186">
        <v>0</v>
      </c>
      <c r="R165" s="186">
        <v>0</v>
      </c>
      <c r="S165" s="186">
        <v>-46611</v>
      </c>
      <c r="T165" s="186">
        <v>34500</v>
      </c>
      <c r="U165" s="186">
        <v>0</v>
      </c>
      <c r="V165" s="186">
        <v>0</v>
      </c>
      <c r="W165" s="186">
        <v>-5179</v>
      </c>
      <c r="X165" s="186">
        <v>0</v>
      </c>
      <c r="Y165" s="186">
        <v>41432</v>
      </c>
      <c r="Z165" s="186">
        <v>0</v>
      </c>
      <c r="AA165" s="186">
        <v>0</v>
      </c>
      <c r="AB165" s="186">
        <v>-5179</v>
      </c>
      <c r="AC165" s="186">
        <v>-5179</v>
      </c>
      <c r="AD165" s="186">
        <v>-5179</v>
      </c>
      <c r="AE165" s="186">
        <v>-5179</v>
      </c>
      <c r="AF165" s="186">
        <v>-5179</v>
      </c>
      <c r="AG165" s="186">
        <v>-15537</v>
      </c>
      <c r="AH165" s="187">
        <v>9</v>
      </c>
    </row>
    <row r="166" spans="2:34">
      <c r="B166" s="185" t="s">
        <v>381</v>
      </c>
      <c r="C166" s="186">
        <v>34</v>
      </c>
      <c r="D166" s="186">
        <v>17</v>
      </c>
      <c r="E166" s="186">
        <v>256</v>
      </c>
      <c r="F166" s="186">
        <v>1465053</v>
      </c>
      <c r="G166" s="186">
        <v>1556602</v>
      </c>
      <c r="H166" s="186">
        <v>84397</v>
      </c>
      <c r="I166" s="186">
        <v>2859.092196000001</v>
      </c>
      <c r="J166" s="186">
        <v>-138746</v>
      </c>
      <c r="K166" s="186">
        <v>1716024</v>
      </c>
      <c r="L166" s="186">
        <v>1260790</v>
      </c>
      <c r="M166" s="186">
        <v>1465053</v>
      </c>
      <c r="N166" s="186">
        <v>1465053</v>
      </c>
      <c r="O166" s="186">
        <v>53514</v>
      </c>
      <c r="P166" s="186">
        <v>46472</v>
      </c>
      <c r="Q166" s="186">
        <v>0</v>
      </c>
      <c r="R166" s="186">
        <v>0</v>
      </c>
      <c r="S166" s="186">
        <v>-154335</v>
      </c>
      <c r="T166" s="186">
        <v>37200</v>
      </c>
      <c r="U166" s="186">
        <v>0</v>
      </c>
      <c r="V166" s="186">
        <v>0</v>
      </c>
      <c r="W166" s="186">
        <v>-15589</v>
      </c>
      <c r="X166" s="186">
        <v>0</v>
      </c>
      <c r="Y166" s="186">
        <v>138746</v>
      </c>
      <c r="Z166" s="186">
        <v>0</v>
      </c>
      <c r="AA166" s="186">
        <v>0</v>
      </c>
      <c r="AB166" s="186">
        <v>-15589</v>
      </c>
      <c r="AC166" s="186">
        <v>-15589</v>
      </c>
      <c r="AD166" s="186">
        <v>-15589</v>
      </c>
      <c r="AE166" s="186">
        <v>-15589</v>
      </c>
      <c r="AF166" s="186">
        <v>-15589</v>
      </c>
      <c r="AG166" s="186">
        <v>-60801</v>
      </c>
      <c r="AH166" s="187">
        <v>9.9</v>
      </c>
    </row>
    <row r="167" spans="2:34">
      <c r="B167" s="185" t="s">
        <v>382</v>
      </c>
      <c r="C167" s="186">
        <v>19</v>
      </c>
      <c r="D167" s="186">
        <v>7</v>
      </c>
      <c r="E167" s="186">
        <v>71</v>
      </c>
      <c r="F167" s="186">
        <v>257136</v>
      </c>
      <c r="G167" s="186">
        <v>278606</v>
      </c>
      <c r="H167" s="186">
        <v>11417</v>
      </c>
      <c r="I167" s="186">
        <v>794.6835430000001</v>
      </c>
      <c r="J167" s="186">
        <v>-22687</v>
      </c>
      <c r="K167" s="186">
        <v>298580</v>
      </c>
      <c r="L167" s="186">
        <v>223319</v>
      </c>
      <c r="M167" s="186">
        <v>257136</v>
      </c>
      <c r="N167" s="186">
        <v>257136</v>
      </c>
      <c r="O167" s="186">
        <v>6160</v>
      </c>
      <c r="P167" s="186">
        <v>8166</v>
      </c>
      <c r="Q167" s="186">
        <v>0</v>
      </c>
      <c r="R167" s="186">
        <v>0</v>
      </c>
      <c r="S167" s="186">
        <v>-25596</v>
      </c>
      <c r="T167" s="186">
        <v>10200</v>
      </c>
      <c r="U167" s="186">
        <v>0</v>
      </c>
      <c r="V167" s="186">
        <v>0</v>
      </c>
      <c r="W167" s="186">
        <v>-2909</v>
      </c>
      <c r="X167" s="186">
        <v>0</v>
      </c>
      <c r="Y167" s="186">
        <v>22687</v>
      </c>
      <c r="Z167" s="186">
        <v>0</v>
      </c>
      <c r="AA167" s="186">
        <v>0</v>
      </c>
      <c r="AB167" s="186">
        <v>-2909</v>
      </c>
      <c r="AC167" s="186">
        <v>-2909</v>
      </c>
      <c r="AD167" s="186">
        <v>-2909</v>
      </c>
      <c r="AE167" s="186">
        <v>-2909</v>
      </c>
      <c r="AF167" s="186">
        <v>-2909</v>
      </c>
      <c r="AG167" s="186">
        <v>-8142</v>
      </c>
      <c r="AH167" s="187">
        <v>8.8000000000000007</v>
      </c>
    </row>
    <row r="168" spans="2:34">
      <c r="B168" s="185" t="s">
        <v>383</v>
      </c>
      <c r="C168" s="186">
        <v>25</v>
      </c>
      <c r="D168" s="186">
        <v>3</v>
      </c>
      <c r="E168" s="186">
        <v>60</v>
      </c>
      <c r="F168" s="186">
        <v>288204</v>
      </c>
      <c r="G168" s="186">
        <v>311843</v>
      </c>
      <c r="H168" s="186">
        <v>11331</v>
      </c>
      <c r="I168" s="186">
        <v>664.96211600000004</v>
      </c>
      <c r="J168" s="186">
        <v>-21620</v>
      </c>
      <c r="K168" s="186">
        <v>328406</v>
      </c>
      <c r="L168" s="186">
        <v>254995</v>
      </c>
      <c r="M168" s="186">
        <v>288204</v>
      </c>
      <c r="N168" s="186">
        <v>288204</v>
      </c>
      <c r="O168" s="186">
        <v>5440</v>
      </c>
      <c r="P168" s="186">
        <v>9070</v>
      </c>
      <c r="Q168" s="186">
        <v>0</v>
      </c>
      <c r="R168" s="186">
        <v>0</v>
      </c>
      <c r="S168" s="186">
        <v>-24799</v>
      </c>
      <c r="T168" s="186">
        <v>13350</v>
      </c>
      <c r="U168" s="186">
        <v>0</v>
      </c>
      <c r="V168" s="186">
        <v>0</v>
      </c>
      <c r="W168" s="186">
        <v>-3179</v>
      </c>
      <c r="X168" s="186">
        <v>0</v>
      </c>
      <c r="Y168" s="186">
        <v>21620</v>
      </c>
      <c r="Z168" s="186">
        <v>0</v>
      </c>
      <c r="AA168" s="186">
        <v>0</v>
      </c>
      <c r="AB168" s="186">
        <v>-3179</v>
      </c>
      <c r="AC168" s="186">
        <v>-3179</v>
      </c>
      <c r="AD168" s="186">
        <v>-3179</v>
      </c>
      <c r="AE168" s="186">
        <v>-3179</v>
      </c>
      <c r="AF168" s="186">
        <v>-3179</v>
      </c>
      <c r="AG168" s="186">
        <v>-5725</v>
      </c>
      <c r="AH168" s="187">
        <v>7.8</v>
      </c>
    </row>
    <row r="169" spans="2:34">
      <c r="B169" s="185" t="s">
        <v>384</v>
      </c>
      <c r="C169" s="186">
        <v>136</v>
      </c>
      <c r="D169" s="186">
        <v>35</v>
      </c>
      <c r="E169" s="186">
        <v>458</v>
      </c>
      <c r="F169" s="186">
        <v>1700651</v>
      </c>
      <c r="G169" s="186">
        <v>1834280</v>
      </c>
      <c r="H169" s="186">
        <v>74158</v>
      </c>
      <c r="I169" s="186">
        <v>5243.1725560000014</v>
      </c>
      <c r="J169" s="186">
        <v>-135487</v>
      </c>
      <c r="K169" s="186">
        <v>1948411</v>
      </c>
      <c r="L169" s="186">
        <v>1496474</v>
      </c>
      <c r="M169" s="186">
        <v>1700651</v>
      </c>
      <c r="N169" s="186">
        <v>1700651</v>
      </c>
      <c r="O169" s="186">
        <v>37915</v>
      </c>
      <c r="P169" s="186">
        <v>53613</v>
      </c>
      <c r="Q169" s="186">
        <v>0</v>
      </c>
      <c r="R169" s="186">
        <v>0</v>
      </c>
      <c r="S169" s="186">
        <v>-152857</v>
      </c>
      <c r="T169" s="186">
        <v>72300</v>
      </c>
      <c r="U169" s="186">
        <v>0</v>
      </c>
      <c r="V169" s="186">
        <v>0</v>
      </c>
      <c r="W169" s="186">
        <v>-17370</v>
      </c>
      <c r="X169" s="186">
        <v>0</v>
      </c>
      <c r="Y169" s="186">
        <v>135487</v>
      </c>
      <c r="Z169" s="186">
        <v>0</v>
      </c>
      <c r="AA169" s="186">
        <v>0</v>
      </c>
      <c r="AB169" s="186">
        <v>-17370</v>
      </c>
      <c r="AC169" s="186">
        <v>-17370</v>
      </c>
      <c r="AD169" s="186">
        <v>-17370</v>
      </c>
      <c r="AE169" s="186">
        <v>-17370</v>
      </c>
      <c r="AF169" s="186">
        <v>-17370</v>
      </c>
      <c r="AG169" s="186">
        <v>-48637</v>
      </c>
      <c r="AH169" s="187">
        <v>8.8000000000000007</v>
      </c>
    </row>
    <row r="170" spans="2:34">
      <c r="B170" s="185" t="s">
        <v>385</v>
      </c>
      <c r="C170" s="186">
        <v>155</v>
      </c>
      <c r="D170" s="186">
        <v>71</v>
      </c>
      <c r="E170" s="186">
        <v>587</v>
      </c>
      <c r="F170" s="186">
        <v>2134383</v>
      </c>
      <c r="G170" s="186">
        <v>2296572</v>
      </c>
      <c r="H170" s="186">
        <v>94508</v>
      </c>
      <c r="I170" s="186">
        <v>6723.5925440000001</v>
      </c>
      <c r="J170" s="186">
        <v>-171347</v>
      </c>
      <c r="K170" s="186">
        <v>2446156</v>
      </c>
      <c r="L170" s="186">
        <v>1877710</v>
      </c>
      <c r="M170" s="186">
        <v>2134383</v>
      </c>
      <c r="N170" s="186">
        <v>2134383</v>
      </c>
      <c r="O170" s="186">
        <v>48434</v>
      </c>
      <c r="P170" s="186">
        <v>67228</v>
      </c>
      <c r="Q170" s="186">
        <v>0</v>
      </c>
      <c r="R170" s="186">
        <v>0</v>
      </c>
      <c r="S170" s="186">
        <v>-192501</v>
      </c>
      <c r="T170" s="186">
        <v>85350</v>
      </c>
      <c r="U170" s="186">
        <v>0</v>
      </c>
      <c r="V170" s="186">
        <v>0</v>
      </c>
      <c r="W170" s="186">
        <v>-21154</v>
      </c>
      <c r="X170" s="186">
        <v>0</v>
      </c>
      <c r="Y170" s="186">
        <v>171347</v>
      </c>
      <c r="Z170" s="186">
        <v>0</v>
      </c>
      <c r="AA170" s="186">
        <v>0</v>
      </c>
      <c r="AB170" s="186">
        <v>-21154</v>
      </c>
      <c r="AC170" s="186">
        <v>-21154</v>
      </c>
      <c r="AD170" s="186">
        <v>-21154</v>
      </c>
      <c r="AE170" s="186">
        <v>-21154</v>
      </c>
      <c r="AF170" s="186">
        <v>-21154</v>
      </c>
      <c r="AG170" s="186">
        <v>-65577</v>
      </c>
      <c r="AH170" s="187">
        <v>9.1</v>
      </c>
    </row>
    <row r="171" spans="2:34">
      <c r="B171" s="185" t="s">
        <v>386</v>
      </c>
      <c r="C171" s="186">
        <v>59</v>
      </c>
      <c r="D171" s="186">
        <v>18</v>
      </c>
      <c r="E171" s="186">
        <v>195</v>
      </c>
      <c r="F171" s="186">
        <v>786731</v>
      </c>
      <c r="G171" s="186">
        <v>851033</v>
      </c>
      <c r="H171" s="186">
        <v>33095</v>
      </c>
      <c r="I171" s="186">
        <v>2116.7747989999989</v>
      </c>
      <c r="J171" s="186">
        <v>-64847</v>
      </c>
      <c r="K171" s="186">
        <v>906271</v>
      </c>
      <c r="L171" s="186">
        <v>688680</v>
      </c>
      <c r="M171" s="186">
        <v>786731</v>
      </c>
      <c r="N171" s="186">
        <v>786731</v>
      </c>
      <c r="O171" s="186">
        <v>17104</v>
      </c>
      <c r="P171" s="186">
        <v>24874</v>
      </c>
      <c r="Q171" s="186">
        <v>0</v>
      </c>
      <c r="R171" s="186">
        <v>0</v>
      </c>
      <c r="S171" s="186">
        <v>-73730</v>
      </c>
      <c r="T171" s="186">
        <v>32550</v>
      </c>
      <c r="U171" s="186">
        <v>0</v>
      </c>
      <c r="V171" s="186">
        <v>0</v>
      </c>
      <c r="W171" s="186">
        <v>-8883</v>
      </c>
      <c r="X171" s="186">
        <v>0</v>
      </c>
      <c r="Y171" s="186">
        <v>64847</v>
      </c>
      <c r="Z171" s="186">
        <v>0</v>
      </c>
      <c r="AA171" s="186">
        <v>0</v>
      </c>
      <c r="AB171" s="186">
        <v>-8883</v>
      </c>
      <c r="AC171" s="186">
        <v>-8883</v>
      </c>
      <c r="AD171" s="186">
        <v>-8883</v>
      </c>
      <c r="AE171" s="186">
        <v>-8883</v>
      </c>
      <c r="AF171" s="186">
        <v>-8883</v>
      </c>
      <c r="AG171" s="186">
        <v>-20432</v>
      </c>
      <c r="AH171" s="187">
        <v>8.3000000000000007</v>
      </c>
    </row>
    <row r="172" spans="2:34">
      <c r="B172" s="185" t="s">
        <v>387</v>
      </c>
      <c r="C172" s="186">
        <v>105</v>
      </c>
      <c r="D172" s="186">
        <v>34</v>
      </c>
      <c r="E172" s="186">
        <v>324</v>
      </c>
      <c r="F172" s="186">
        <v>1333629</v>
      </c>
      <c r="G172" s="186">
        <v>1437747</v>
      </c>
      <c r="H172" s="186">
        <v>55936</v>
      </c>
      <c r="I172" s="186">
        <v>3693.1104179999943</v>
      </c>
      <c r="J172" s="186">
        <v>-102604</v>
      </c>
      <c r="K172" s="186">
        <v>1521453</v>
      </c>
      <c r="L172" s="186">
        <v>1178217</v>
      </c>
      <c r="M172" s="186">
        <v>1333629</v>
      </c>
      <c r="N172" s="186">
        <v>1333629</v>
      </c>
      <c r="O172" s="186">
        <v>27491</v>
      </c>
      <c r="P172" s="186">
        <v>41946</v>
      </c>
      <c r="Q172" s="186">
        <v>0</v>
      </c>
      <c r="R172" s="186">
        <v>0</v>
      </c>
      <c r="S172" s="186">
        <v>-116105</v>
      </c>
      <c r="T172" s="186">
        <v>57450</v>
      </c>
      <c r="U172" s="186">
        <v>0</v>
      </c>
      <c r="V172" s="186">
        <v>0</v>
      </c>
      <c r="W172" s="186">
        <v>-13501</v>
      </c>
      <c r="X172" s="186">
        <v>0</v>
      </c>
      <c r="Y172" s="186">
        <v>102604</v>
      </c>
      <c r="Z172" s="186">
        <v>0</v>
      </c>
      <c r="AA172" s="186">
        <v>0</v>
      </c>
      <c r="AB172" s="186">
        <v>-13501</v>
      </c>
      <c r="AC172" s="186">
        <v>-13501</v>
      </c>
      <c r="AD172" s="186">
        <v>-13501</v>
      </c>
      <c r="AE172" s="186">
        <v>-13501</v>
      </c>
      <c r="AF172" s="186">
        <v>-13501</v>
      </c>
      <c r="AG172" s="186">
        <v>-35099</v>
      </c>
      <c r="AH172" s="187">
        <v>8.6</v>
      </c>
    </row>
    <row r="173" spans="2:34">
      <c r="B173" s="185" t="s">
        <v>388</v>
      </c>
      <c r="C173" s="186">
        <v>82</v>
      </c>
      <c r="D173" s="186">
        <v>30</v>
      </c>
      <c r="E173" s="186">
        <v>287</v>
      </c>
      <c r="F173" s="186">
        <v>1102414</v>
      </c>
      <c r="G173" s="186">
        <v>1192209</v>
      </c>
      <c r="H173" s="186">
        <v>46937</v>
      </c>
      <c r="I173" s="186">
        <v>3361.2842769999997</v>
      </c>
      <c r="J173" s="186">
        <v>-91432</v>
      </c>
      <c r="K173" s="186">
        <v>1269059</v>
      </c>
      <c r="L173" s="186">
        <v>966076</v>
      </c>
      <c r="M173" s="186">
        <v>1102414</v>
      </c>
      <c r="N173" s="186">
        <v>1102414</v>
      </c>
      <c r="O173" s="186">
        <v>23391</v>
      </c>
      <c r="P173" s="186">
        <v>34834</v>
      </c>
      <c r="Q173" s="186">
        <v>0</v>
      </c>
      <c r="R173" s="186">
        <v>0</v>
      </c>
      <c r="S173" s="186">
        <v>-102720</v>
      </c>
      <c r="T173" s="186">
        <v>45300</v>
      </c>
      <c r="U173" s="186">
        <v>0</v>
      </c>
      <c r="V173" s="186">
        <v>0</v>
      </c>
      <c r="W173" s="186">
        <v>-11288</v>
      </c>
      <c r="X173" s="186">
        <v>0</v>
      </c>
      <c r="Y173" s="186">
        <v>91432</v>
      </c>
      <c r="Z173" s="186">
        <v>0</v>
      </c>
      <c r="AA173" s="186">
        <v>0</v>
      </c>
      <c r="AB173" s="186">
        <v>-11288</v>
      </c>
      <c r="AC173" s="186">
        <v>-11288</v>
      </c>
      <c r="AD173" s="186">
        <v>-11288</v>
      </c>
      <c r="AE173" s="186">
        <v>-11288</v>
      </c>
      <c r="AF173" s="186">
        <v>-11288</v>
      </c>
      <c r="AG173" s="186">
        <v>-34992</v>
      </c>
      <c r="AH173" s="187">
        <v>9.1</v>
      </c>
    </row>
    <row r="174" spans="2:34">
      <c r="B174" s="185" t="s">
        <v>389</v>
      </c>
      <c r="C174" s="186">
        <v>0</v>
      </c>
      <c r="D174" s="186">
        <v>0</v>
      </c>
      <c r="E174" s="186">
        <v>0</v>
      </c>
      <c r="F174" s="186">
        <v>0</v>
      </c>
      <c r="G174" s="186">
        <v>0</v>
      </c>
      <c r="H174" s="186">
        <v>0</v>
      </c>
      <c r="I174" s="186">
        <v>0</v>
      </c>
      <c r="J174" s="186">
        <v>0</v>
      </c>
      <c r="K174" s="186">
        <v>0</v>
      </c>
      <c r="L174" s="186">
        <v>0</v>
      </c>
      <c r="M174" s="186">
        <v>0</v>
      </c>
      <c r="N174" s="186">
        <v>0</v>
      </c>
      <c r="O174" s="186">
        <v>0</v>
      </c>
      <c r="P174" s="186">
        <v>0</v>
      </c>
      <c r="Q174" s="186">
        <v>0</v>
      </c>
      <c r="R174" s="186">
        <v>0</v>
      </c>
      <c r="S174" s="186">
        <v>0</v>
      </c>
      <c r="T174" s="186">
        <v>0</v>
      </c>
      <c r="U174" s="186">
        <v>0</v>
      </c>
      <c r="V174" s="186">
        <v>0</v>
      </c>
      <c r="W174" s="186">
        <v>0</v>
      </c>
      <c r="X174" s="186">
        <v>0</v>
      </c>
      <c r="Y174" s="186">
        <v>0</v>
      </c>
      <c r="Z174" s="186">
        <v>0</v>
      </c>
      <c r="AA174" s="186">
        <v>0</v>
      </c>
      <c r="AB174" s="186">
        <v>0</v>
      </c>
      <c r="AC174" s="186">
        <v>0</v>
      </c>
      <c r="AD174" s="186">
        <v>0</v>
      </c>
      <c r="AE174" s="186">
        <v>0</v>
      </c>
      <c r="AF174" s="186">
        <v>0</v>
      </c>
      <c r="AG174" s="186">
        <v>0</v>
      </c>
      <c r="AH174" s="187">
        <v>1</v>
      </c>
    </row>
    <row r="175" spans="2:34">
      <c r="B175" s="185" t="s">
        <v>466</v>
      </c>
      <c r="C175" s="186">
        <v>0</v>
      </c>
      <c r="D175" s="186">
        <v>157</v>
      </c>
      <c r="E175" s="186">
        <v>1842</v>
      </c>
      <c r="F175" s="186">
        <v>2814177</v>
      </c>
      <c r="G175" s="186">
        <v>2937622</v>
      </c>
      <c r="H175" s="186">
        <v>197153</v>
      </c>
      <c r="I175" s="186">
        <v>21680.830449999936</v>
      </c>
      <c r="J175" s="186">
        <v>-320598</v>
      </c>
      <c r="K175" s="186">
        <v>3384726</v>
      </c>
      <c r="L175" s="186">
        <v>2356618</v>
      </c>
      <c r="M175" s="186">
        <v>2814177</v>
      </c>
      <c r="N175" s="186">
        <v>2814177</v>
      </c>
      <c r="O175" s="186">
        <v>137057</v>
      </c>
      <c r="P175" s="186">
        <v>89781</v>
      </c>
      <c r="Q175" s="186">
        <v>0</v>
      </c>
      <c r="R175" s="186">
        <v>0</v>
      </c>
      <c r="S175" s="186">
        <v>-350283</v>
      </c>
      <c r="T175" s="186">
        <v>0</v>
      </c>
      <c r="U175" s="186">
        <v>0</v>
      </c>
      <c r="V175" s="186">
        <v>0</v>
      </c>
      <c r="W175" s="186">
        <v>-29685</v>
      </c>
      <c r="X175" s="186">
        <v>0</v>
      </c>
      <c r="Y175" s="186">
        <v>320598</v>
      </c>
      <c r="Z175" s="186">
        <v>0</v>
      </c>
      <c r="AA175" s="186">
        <v>0</v>
      </c>
      <c r="AB175" s="186">
        <v>-29685</v>
      </c>
      <c r="AC175" s="186">
        <v>-29685</v>
      </c>
      <c r="AD175" s="186">
        <v>-29685</v>
      </c>
      <c r="AE175" s="186">
        <v>-29685</v>
      </c>
      <c r="AF175" s="186">
        <v>-29685</v>
      </c>
      <c r="AG175" s="186">
        <v>-172173</v>
      </c>
      <c r="AH175" s="187">
        <v>11.8</v>
      </c>
    </row>
    <row r="176" spans="2:34">
      <c r="B176" s="185" t="s">
        <v>467</v>
      </c>
      <c r="C176" s="186">
        <v>0</v>
      </c>
      <c r="D176" s="186">
        <v>2</v>
      </c>
      <c r="E176" s="186">
        <v>59</v>
      </c>
      <c r="F176" s="186">
        <v>66864</v>
      </c>
      <c r="G176" s="186">
        <v>69719</v>
      </c>
      <c r="H176" s="186">
        <v>5469</v>
      </c>
      <c r="I176" s="186">
        <v>696.33590300000014</v>
      </c>
      <c r="J176" s="186">
        <v>-8324</v>
      </c>
      <c r="K176" s="186">
        <v>81782</v>
      </c>
      <c r="L176" s="186">
        <v>55096</v>
      </c>
      <c r="M176" s="186">
        <v>66864</v>
      </c>
      <c r="N176" s="186">
        <v>66864</v>
      </c>
      <c r="O176" s="186">
        <v>4085</v>
      </c>
      <c r="P176" s="186">
        <v>2155</v>
      </c>
      <c r="Q176" s="186">
        <v>0</v>
      </c>
      <c r="R176" s="186">
        <v>0</v>
      </c>
      <c r="S176" s="186">
        <v>-9095</v>
      </c>
      <c r="T176" s="186">
        <v>0</v>
      </c>
      <c r="U176" s="186">
        <v>0</v>
      </c>
      <c r="V176" s="186">
        <v>0</v>
      </c>
      <c r="W176" s="186">
        <v>-771</v>
      </c>
      <c r="X176" s="186">
        <v>0</v>
      </c>
      <c r="Y176" s="186">
        <v>8324</v>
      </c>
      <c r="Z176" s="186">
        <v>0</v>
      </c>
      <c r="AA176" s="186">
        <v>0</v>
      </c>
      <c r="AB176" s="186">
        <v>-771</v>
      </c>
      <c r="AC176" s="186">
        <v>-771</v>
      </c>
      <c r="AD176" s="186">
        <v>-771</v>
      </c>
      <c r="AE176" s="186">
        <v>-771</v>
      </c>
      <c r="AF176" s="186">
        <v>-771</v>
      </c>
      <c r="AG176" s="186">
        <v>-4469</v>
      </c>
      <c r="AH176" s="187">
        <v>11.8</v>
      </c>
    </row>
    <row r="177" spans="2:34">
      <c r="B177" s="185" t="s">
        <v>468</v>
      </c>
      <c r="C177" s="186">
        <v>0</v>
      </c>
      <c r="D177" s="186">
        <v>117</v>
      </c>
      <c r="E177" s="186">
        <v>843</v>
      </c>
      <c r="F177" s="186">
        <v>1570711</v>
      </c>
      <c r="G177" s="186">
        <v>1651071</v>
      </c>
      <c r="H177" s="186">
        <v>97113</v>
      </c>
      <c r="I177" s="186">
        <v>10261.111577000009</v>
      </c>
      <c r="J177" s="186">
        <v>-177473</v>
      </c>
      <c r="K177" s="186">
        <v>1885185</v>
      </c>
      <c r="L177" s="186">
        <v>1319283</v>
      </c>
      <c r="M177" s="186">
        <v>1570711</v>
      </c>
      <c r="N177" s="186">
        <v>1570711</v>
      </c>
      <c r="O177" s="186">
        <v>62911</v>
      </c>
      <c r="P177" s="186">
        <v>50048</v>
      </c>
      <c r="Q177" s="186">
        <v>0</v>
      </c>
      <c r="R177" s="186">
        <v>0</v>
      </c>
      <c r="S177" s="186">
        <v>-193319</v>
      </c>
      <c r="T177" s="186">
        <v>0</v>
      </c>
      <c r="U177" s="186">
        <v>0</v>
      </c>
      <c r="V177" s="186">
        <v>0</v>
      </c>
      <c r="W177" s="186">
        <v>-15846</v>
      </c>
      <c r="X177" s="186">
        <v>0</v>
      </c>
      <c r="Y177" s="186">
        <v>177473</v>
      </c>
      <c r="Z177" s="186">
        <v>0</v>
      </c>
      <c r="AA177" s="186">
        <v>0</v>
      </c>
      <c r="AB177" s="186">
        <v>-15846</v>
      </c>
      <c r="AC177" s="186">
        <v>-15846</v>
      </c>
      <c r="AD177" s="186">
        <v>-15846</v>
      </c>
      <c r="AE177" s="186">
        <v>-15846</v>
      </c>
      <c r="AF177" s="186">
        <v>-15846</v>
      </c>
      <c r="AG177" s="186">
        <v>-98243</v>
      </c>
      <c r="AH177" s="187">
        <v>12.2</v>
      </c>
    </row>
    <row r="178" spans="2:34">
      <c r="B178" s="188" t="s">
        <v>101</v>
      </c>
      <c r="C178" s="189">
        <f t="shared" ref="C178:AG178" si="0">SUM(C$5:C$177)</f>
        <v>14593</v>
      </c>
      <c r="D178" s="189">
        <f t="shared" si="0"/>
        <v>8282</v>
      </c>
      <c r="E178" s="189">
        <f t="shared" si="0"/>
        <v>66278</v>
      </c>
      <c r="F178" s="189">
        <f t="shared" si="0"/>
        <v>397450684</v>
      </c>
      <c r="G178" s="189">
        <f t="shared" si="0"/>
        <v>418356791</v>
      </c>
      <c r="H178" s="189">
        <f t="shared" si="0"/>
        <v>25045187</v>
      </c>
      <c r="I178" s="189">
        <f t="shared" si="0"/>
        <v>762859.28280800011</v>
      </c>
      <c r="J178" s="189">
        <f t="shared" si="0"/>
        <v>-35961157</v>
      </c>
      <c r="K178" s="189">
        <f t="shared" si="0"/>
        <v>464785339</v>
      </c>
      <c r="L178" s="189">
        <f t="shared" si="0"/>
        <v>342215142</v>
      </c>
      <c r="M178" s="189">
        <f t="shared" si="0"/>
        <v>367986942</v>
      </c>
      <c r="N178" s="189">
        <f t="shared" si="0"/>
        <v>436597454</v>
      </c>
      <c r="O178" s="189">
        <f t="shared" si="0"/>
        <v>18040730</v>
      </c>
      <c r="P178" s="189">
        <f t="shared" si="0"/>
        <v>12596955</v>
      </c>
      <c r="Q178" s="189">
        <f t="shared" si="0"/>
        <v>0</v>
      </c>
      <c r="R178" s="189">
        <f t="shared" si="0"/>
        <v>0</v>
      </c>
      <c r="S178" s="189">
        <f t="shared" si="0"/>
        <v>-41553655</v>
      </c>
      <c r="T178" s="189">
        <f t="shared" si="0"/>
        <v>9990137</v>
      </c>
      <c r="U178" s="189">
        <f t="shared" si="0"/>
        <v>0</v>
      </c>
      <c r="V178" s="189">
        <f t="shared" si="0"/>
        <v>0</v>
      </c>
      <c r="W178" s="189">
        <f t="shared" si="0"/>
        <v>-5592498</v>
      </c>
      <c r="X178" s="189">
        <f t="shared" si="0"/>
        <v>0</v>
      </c>
      <c r="Y178" s="189">
        <f t="shared" si="0"/>
        <v>35961157</v>
      </c>
      <c r="Z178" s="189">
        <f t="shared" si="0"/>
        <v>0</v>
      </c>
      <c r="AA178" s="189">
        <f t="shared" si="0"/>
        <v>0</v>
      </c>
      <c r="AB178" s="189">
        <f t="shared" si="0"/>
        <v>-4561075</v>
      </c>
      <c r="AC178" s="189">
        <f t="shared" si="0"/>
        <v>-4561075</v>
      </c>
      <c r="AD178" s="189">
        <f t="shared" si="0"/>
        <v>-4561045</v>
      </c>
      <c r="AE178" s="189">
        <f t="shared" si="0"/>
        <v>-4561043</v>
      </c>
      <c r="AF178" s="189">
        <f t="shared" si="0"/>
        <v>-4561043</v>
      </c>
      <c r="AG178" s="189">
        <f t="shared" si="0"/>
        <v>-13155876</v>
      </c>
      <c r="AH178" s="190">
        <v>9.4</v>
      </c>
    </row>
    <row r="183" spans="2:34">
      <c r="F183" s="196"/>
      <c r="G183" s="196"/>
      <c r="I183" s="196"/>
      <c r="J183" s="196"/>
      <c r="K183" s="196"/>
      <c r="L183" s="196"/>
      <c r="M183" s="196"/>
      <c r="N183" s="196"/>
      <c r="O183" s="196"/>
      <c r="P183" s="196"/>
      <c r="Q183" s="196"/>
      <c r="R183" s="196"/>
      <c r="S183" s="196"/>
      <c r="T183" s="196"/>
      <c r="U183" s="196"/>
      <c r="V183" s="196"/>
      <c r="W183" s="196"/>
      <c r="X183" s="196"/>
      <c r="Y183" s="196"/>
      <c r="Z183" s="196"/>
      <c r="AA183" s="196"/>
      <c r="AB183" s="196"/>
      <c r="AC183" s="196"/>
      <c r="AD183" s="196"/>
      <c r="AE183" s="196"/>
      <c r="AF183" s="196"/>
      <c r="AG183" s="196"/>
    </row>
    <row r="185" spans="2:34">
      <c r="F185" s="196"/>
      <c r="G185" s="196"/>
      <c r="I185" s="197"/>
      <c r="J185" s="197"/>
      <c r="K185" s="197"/>
      <c r="L185" s="197"/>
      <c r="M185" s="197"/>
      <c r="N185" s="197"/>
      <c r="O185" s="197"/>
      <c r="P185" s="197"/>
      <c r="Q185" s="197"/>
      <c r="R185" s="197"/>
      <c r="S185" s="197"/>
      <c r="T185" s="197"/>
      <c r="U185" s="197"/>
      <c r="V185" s="197"/>
      <c r="W185" s="197"/>
      <c r="X185" s="197"/>
      <c r="Y185" s="197"/>
      <c r="Z185" s="197"/>
      <c r="AA185" s="197"/>
      <c r="AB185" s="197"/>
      <c r="AC185" s="197"/>
      <c r="AD185" s="197"/>
      <c r="AE185" s="197"/>
      <c r="AF185" s="197"/>
      <c r="AG185" s="197"/>
    </row>
  </sheetData>
  <mergeCells count="12">
    <mergeCell ref="AH3:AH4"/>
    <mergeCell ref="F3:F4"/>
    <mergeCell ref="G3:G4"/>
    <mergeCell ref="B2:H2"/>
    <mergeCell ref="C3:E3"/>
    <mergeCell ref="H3:H4"/>
    <mergeCell ref="K3:N3"/>
    <mergeCell ref="O3:T3"/>
    <mergeCell ref="U3:W3"/>
    <mergeCell ref="X3:Y3"/>
    <mergeCell ref="Z3:AA3"/>
    <mergeCell ref="AB3:AG3"/>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CD185"/>
  <sheetViews>
    <sheetView workbookViewId="0">
      <selection activeCell="F17" sqref="F17"/>
    </sheetView>
  </sheetViews>
  <sheetFormatPr defaultRowHeight="15"/>
  <cols>
    <col min="1" max="1" width="3.42578125" style="192" customWidth="1"/>
    <col min="2" max="2" width="62.42578125" style="192" bestFit="1" customWidth="1"/>
    <col min="3" max="3" width="22.42578125" style="191" customWidth="1"/>
    <col min="4" max="4" width="14.28515625" style="191" customWidth="1"/>
    <col min="5" max="5" width="13.140625" style="191" customWidth="1"/>
    <col min="6" max="6" width="13.7109375" style="191" customWidth="1"/>
    <col min="7" max="7" width="20" style="192" customWidth="1"/>
    <col min="8" max="8" width="19.42578125" style="192" customWidth="1"/>
    <col min="9" max="9" width="18.42578125" style="192" customWidth="1"/>
    <col min="10" max="10" width="20" style="192" customWidth="1"/>
    <col min="11" max="11" width="19.42578125" style="192" customWidth="1"/>
    <col min="12" max="12" width="18.42578125" style="192" customWidth="1"/>
    <col min="13" max="24" width="16.140625" style="192" customWidth="1"/>
    <col min="25" max="41" width="11.7109375" style="192" customWidth="1"/>
    <col min="42" max="42" width="13" style="192" customWidth="1"/>
    <col min="43" max="45" width="16.140625" style="192" customWidth="1"/>
    <col min="46" max="47" width="13.7109375" style="192" customWidth="1"/>
    <col min="48" max="48" width="13.5703125" style="192" customWidth="1"/>
    <col min="49" max="49" width="15.140625" style="192" customWidth="1"/>
    <col min="50" max="51" width="13.7109375" style="192" customWidth="1"/>
    <col min="52" max="52" width="13.5703125" style="192" customWidth="1"/>
    <col min="53" max="53" width="15.140625" style="192" customWidth="1"/>
    <col min="54" max="55" width="13.7109375" style="192" customWidth="1"/>
    <col min="56" max="56" width="13.5703125" style="192" customWidth="1"/>
    <col min="57" max="57" width="15.140625" style="192" customWidth="1"/>
    <col min="58" max="58" width="20" style="192" customWidth="1"/>
    <col min="59" max="59" width="19.42578125" style="192" customWidth="1"/>
    <col min="60" max="60" width="18.42578125" style="192" customWidth="1"/>
    <col min="61" max="61" width="10.5703125" style="192" customWidth="1"/>
    <col min="62" max="16384" width="9.140625" style="192"/>
  </cols>
  <sheetData>
    <row r="1" spans="2:82">
      <c r="B1" s="192">
        <v>1</v>
      </c>
      <c r="C1" s="192">
        <v>2</v>
      </c>
      <c r="D1" s="192">
        <v>3</v>
      </c>
      <c r="E1" s="192">
        <v>4</v>
      </c>
      <c r="F1" s="192">
        <v>5</v>
      </c>
      <c r="G1" s="192">
        <v>6</v>
      </c>
      <c r="H1" s="192">
        <v>7</v>
      </c>
      <c r="I1" s="192">
        <v>8</v>
      </c>
      <c r="J1" s="192">
        <v>9</v>
      </c>
      <c r="K1" s="192">
        <v>10</v>
      </c>
      <c r="L1" s="192">
        <v>11</v>
      </c>
      <c r="M1" s="192">
        <v>12</v>
      </c>
      <c r="N1" s="192">
        <v>13</v>
      </c>
      <c r="O1" s="192">
        <v>14</v>
      </c>
      <c r="P1" s="192">
        <v>15</v>
      </c>
      <c r="Q1" s="192">
        <v>16</v>
      </c>
      <c r="R1" s="192">
        <v>17</v>
      </c>
      <c r="S1" s="192">
        <v>18</v>
      </c>
      <c r="T1" s="192">
        <v>19</v>
      </c>
      <c r="U1" s="192">
        <v>20</v>
      </c>
      <c r="V1" s="192">
        <v>21</v>
      </c>
      <c r="W1" s="192">
        <v>22</v>
      </c>
      <c r="X1" s="192">
        <v>23</v>
      </c>
      <c r="Y1" s="192">
        <v>24</v>
      </c>
      <c r="Z1" s="192">
        <v>25</v>
      </c>
      <c r="AA1" s="192">
        <v>26</v>
      </c>
      <c r="AB1" s="192">
        <v>27</v>
      </c>
      <c r="AC1" s="192">
        <v>28</v>
      </c>
      <c r="AD1" s="192">
        <v>29</v>
      </c>
      <c r="AE1" s="192">
        <v>30</v>
      </c>
      <c r="AF1" s="192">
        <v>31</v>
      </c>
      <c r="AG1" s="192">
        <v>32</v>
      </c>
      <c r="AH1" s="192">
        <v>33</v>
      </c>
      <c r="AI1" s="192">
        <v>34</v>
      </c>
      <c r="AJ1" s="192">
        <v>35</v>
      </c>
      <c r="AK1" s="192">
        <v>36</v>
      </c>
      <c r="AL1" s="192">
        <v>37</v>
      </c>
      <c r="AM1" s="192">
        <v>38</v>
      </c>
      <c r="AN1" s="192">
        <v>39</v>
      </c>
      <c r="AO1" s="192">
        <v>40</v>
      </c>
      <c r="AP1" s="192">
        <v>41</v>
      </c>
      <c r="AQ1" s="192">
        <v>42</v>
      </c>
      <c r="AR1" s="192">
        <v>43</v>
      </c>
      <c r="AS1" s="192">
        <v>44</v>
      </c>
      <c r="AT1" s="192">
        <v>45</v>
      </c>
      <c r="AU1" s="192">
        <v>46</v>
      </c>
      <c r="AV1" s="192">
        <v>47</v>
      </c>
      <c r="AW1" s="192">
        <v>48</v>
      </c>
      <c r="AX1" s="192">
        <v>49</v>
      </c>
      <c r="AY1" s="192">
        <v>50</v>
      </c>
      <c r="AZ1" s="192">
        <v>51</v>
      </c>
      <c r="BA1" s="192">
        <v>52</v>
      </c>
      <c r="BB1" s="192">
        <v>53</v>
      </c>
      <c r="BC1" s="192">
        <v>54</v>
      </c>
      <c r="BD1" s="192">
        <v>55</v>
      </c>
      <c r="BE1" s="192">
        <v>56</v>
      </c>
      <c r="BF1" s="192">
        <v>57</v>
      </c>
      <c r="BG1" s="192">
        <v>58</v>
      </c>
      <c r="BH1" s="192">
        <v>59</v>
      </c>
      <c r="BI1" s="192">
        <v>60</v>
      </c>
      <c r="BJ1" s="192">
        <v>61</v>
      </c>
      <c r="BK1" s="192">
        <v>62</v>
      </c>
      <c r="BL1" s="192">
        <v>63</v>
      </c>
      <c r="BM1" s="192">
        <v>64</v>
      </c>
      <c r="BN1" s="192">
        <v>65</v>
      </c>
      <c r="BO1" s="192">
        <v>66</v>
      </c>
      <c r="BP1" s="192">
        <v>67</v>
      </c>
      <c r="BQ1" s="192">
        <v>68</v>
      </c>
      <c r="BR1" s="192">
        <v>69</v>
      </c>
      <c r="BS1" s="192">
        <v>70</v>
      </c>
      <c r="BT1" s="192">
        <v>71</v>
      </c>
      <c r="BU1" s="192">
        <v>72</v>
      </c>
      <c r="BV1" s="192">
        <v>73</v>
      </c>
      <c r="BW1" s="192">
        <v>74</v>
      </c>
      <c r="BX1" s="192">
        <v>75</v>
      </c>
      <c r="BY1" s="192">
        <v>76</v>
      </c>
      <c r="BZ1" s="192">
        <v>77</v>
      </c>
      <c r="CA1" s="192">
        <v>78</v>
      </c>
      <c r="CB1" s="192">
        <v>79</v>
      </c>
      <c r="CC1" s="192">
        <v>80</v>
      </c>
      <c r="CD1" s="192">
        <v>81</v>
      </c>
    </row>
    <row r="2" spans="2:82">
      <c r="C2" s="192"/>
      <c r="D2" s="192"/>
      <c r="E2" s="192"/>
      <c r="F2" s="192"/>
    </row>
    <row r="3" spans="2:82">
      <c r="B3" s="193"/>
      <c r="G3" s="319" t="s">
        <v>40</v>
      </c>
      <c r="H3" s="320"/>
      <c r="I3" s="321"/>
      <c r="J3" s="309" t="s">
        <v>212</v>
      </c>
      <c r="K3" s="309"/>
      <c r="L3" s="309"/>
      <c r="M3" s="319" t="s">
        <v>390</v>
      </c>
      <c r="N3" s="320"/>
      <c r="O3" s="321"/>
      <c r="P3" s="308" t="s">
        <v>391</v>
      </c>
      <c r="Q3" s="309"/>
      <c r="R3" s="318"/>
      <c r="S3" s="319" t="s">
        <v>392</v>
      </c>
      <c r="T3" s="320"/>
      <c r="U3" s="321"/>
      <c r="V3" s="308" t="s">
        <v>393</v>
      </c>
      <c r="W3" s="309"/>
      <c r="X3" s="318"/>
      <c r="Y3" s="319" t="s">
        <v>394</v>
      </c>
      <c r="Z3" s="320"/>
      <c r="AA3" s="320"/>
      <c r="AB3" s="320"/>
      <c r="AC3" s="320"/>
      <c r="AD3" s="321"/>
      <c r="AE3" s="308" t="s">
        <v>395</v>
      </c>
      <c r="AF3" s="309"/>
      <c r="AG3" s="309"/>
      <c r="AH3" s="309"/>
      <c r="AI3" s="309"/>
      <c r="AJ3" s="318"/>
      <c r="AK3" s="319" t="s">
        <v>396</v>
      </c>
      <c r="AL3" s="320"/>
      <c r="AM3" s="320"/>
      <c r="AN3" s="320"/>
      <c r="AO3" s="320"/>
      <c r="AP3" s="321"/>
      <c r="AQ3" s="308" t="s">
        <v>397</v>
      </c>
      <c r="AR3" s="309"/>
      <c r="AS3" s="318"/>
      <c r="AT3" s="315" t="s">
        <v>398</v>
      </c>
      <c r="AU3" s="316"/>
      <c r="AV3" s="316"/>
      <c r="AW3" s="317"/>
      <c r="AX3" s="312" t="s">
        <v>399</v>
      </c>
      <c r="AY3" s="313"/>
      <c r="AZ3" s="313"/>
      <c r="BA3" s="314"/>
      <c r="BB3" s="315" t="s">
        <v>400</v>
      </c>
      <c r="BC3" s="316"/>
      <c r="BD3" s="316"/>
      <c r="BE3" s="317"/>
      <c r="BF3" s="322" t="s">
        <v>469</v>
      </c>
      <c r="BG3" s="323"/>
      <c r="BH3" s="324"/>
    </row>
    <row r="4" spans="2:82" ht="28.5">
      <c r="B4" s="194" t="s">
        <v>220</v>
      </c>
      <c r="C4" s="201" t="s">
        <v>403</v>
      </c>
      <c r="D4" s="202" t="s">
        <v>404</v>
      </c>
      <c r="E4" s="202" t="s">
        <v>405</v>
      </c>
      <c r="F4" s="203" t="s">
        <v>406</v>
      </c>
      <c r="G4" s="204" t="s">
        <v>407</v>
      </c>
      <c r="H4" s="205" t="s">
        <v>405</v>
      </c>
      <c r="I4" s="206" t="s">
        <v>406</v>
      </c>
      <c r="J4" s="198" t="s">
        <v>408</v>
      </c>
      <c r="K4" s="199" t="s">
        <v>409</v>
      </c>
      <c r="L4" s="199" t="s">
        <v>406</v>
      </c>
      <c r="M4" s="204" t="s">
        <v>410</v>
      </c>
      <c r="N4" s="205" t="s">
        <v>405</v>
      </c>
      <c r="O4" s="206" t="s">
        <v>406</v>
      </c>
      <c r="P4" s="198" t="s">
        <v>411</v>
      </c>
      <c r="Q4" s="199" t="s">
        <v>405</v>
      </c>
      <c r="R4" s="200" t="s">
        <v>406</v>
      </c>
      <c r="S4" s="204" t="s">
        <v>410</v>
      </c>
      <c r="T4" s="205" t="s">
        <v>405</v>
      </c>
      <c r="U4" s="206" t="s">
        <v>406</v>
      </c>
      <c r="V4" s="198" t="s">
        <v>411</v>
      </c>
      <c r="W4" s="199" t="s">
        <v>405</v>
      </c>
      <c r="X4" s="200" t="s">
        <v>406</v>
      </c>
      <c r="Y4" s="204" t="s">
        <v>412</v>
      </c>
      <c r="Z4" s="205" t="s">
        <v>413</v>
      </c>
      <c r="AA4" s="205" t="s">
        <v>414</v>
      </c>
      <c r="AB4" s="205" t="s">
        <v>415</v>
      </c>
      <c r="AC4" s="205" t="s">
        <v>416</v>
      </c>
      <c r="AD4" s="206" t="s">
        <v>417</v>
      </c>
      <c r="AE4" s="198" t="s">
        <v>412</v>
      </c>
      <c r="AF4" s="199" t="s">
        <v>413</v>
      </c>
      <c r="AG4" s="199" t="s">
        <v>414</v>
      </c>
      <c r="AH4" s="199" t="s">
        <v>415</v>
      </c>
      <c r="AI4" s="199" t="s">
        <v>416</v>
      </c>
      <c r="AJ4" s="200" t="s">
        <v>417</v>
      </c>
      <c r="AK4" s="204" t="s">
        <v>412</v>
      </c>
      <c r="AL4" s="205" t="s">
        <v>413</v>
      </c>
      <c r="AM4" s="205" t="s">
        <v>414</v>
      </c>
      <c r="AN4" s="205" t="s">
        <v>415</v>
      </c>
      <c r="AO4" s="205" t="s">
        <v>416</v>
      </c>
      <c r="AP4" s="206" t="s">
        <v>417</v>
      </c>
      <c r="AQ4" s="198" t="s">
        <v>101</v>
      </c>
      <c r="AR4" s="199" t="s">
        <v>418</v>
      </c>
      <c r="AS4" s="200" t="s">
        <v>419</v>
      </c>
      <c r="AT4" s="234" t="s">
        <v>227</v>
      </c>
      <c r="AU4" s="235" t="s">
        <v>228</v>
      </c>
      <c r="AV4" s="235" t="s">
        <v>229</v>
      </c>
      <c r="AW4" s="236" t="s">
        <v>230</v>
      </c>
      <c r="AX4" s="225" t="s">
        <v>227</v>
      </c>
      <c r="AY4" s="226" t="s">
        <v>228</v>
      </c>
      <c r="AZ4" s="226" t="s">
        <v>229</v>
      </c>
      <c r="BA4" s="227" t="s">
        <v>230</v>
      </c>
      <c r="BB4" s="234" t="s">
        <v>227</v>
      </c>
      <c r="BC4" s="235" t="s">
        <v>228</v>
      </c>
      <c r="BD4" s="235" t="s">
        <v>229</v>
      </c>
      <c r="BE4" s="236" t="s">
        <v>230</v>
      </c>
      <c r="BF4" s="237" t="s">
        <v>407</v>
      </c>
      <c r="BG4" s="238" t="s">
        <v>405</v>
      </c>
      <c r="BH4" s="239" t="s">
        <v>406</v>
      </c>
    </row>
    <row r="5" spans="2:82">
      <c r="B5" s="195" t="s">
        <v>244</v>
      </c>
      <c r="C5" s="207">
        <v>0</v>
      </c>
      <c r="D5" s="208">
        <v>0</v>
      </c>
      <c r="E5" s="209">
        <v>0</v>
      </c>
      <c r="F5" s="209">
        <v>1</v>
      </c>
      <c r="G5" s="210">
        <v>0</v>
      </c>
      <c r="H5" s="211">
        <v>0</v>
      </c>
      <c r="I5" s="212">
        <v>0</v>
      </c>
      <c r="J5" s="210">
        <v>0</v>
      </c>
      <c r="K5" s="211">
        <v>0</v>
      </c>
      <c r="L5" s="211">
        <v>0</v>
      </c>
      <c r="M5" s="210">
        <v>0</v>
      </c>
      <c r="N5" s="211">
        <v>0</v>
      </c>
      <c r="O5" s="211">
        <v>0</v>
      </c>
      <c r="P5" s="210">
        <v>0</v>
      </c>
      <c r="Q5" s="211">
        <v>0</v>
      </c>
      <c r="R5" s="211">
        <v>0</v>
      </c>
      <c r="S5" s="210">
        <v>0</v>
      </c>
      <c r="T5" s="211">
        <v>0</v>
      </c>
      <c r="U5" s="211">
        <v>0</v>
      </c>
      <c r="V5" s="210">
        <v>0</v>
      </c>
      <c r="W5" s="211">
        <v>0</v>
      </c>
      <c r="X5" s="211">
        <v>0</v>
      </c>
      <c r="Y5" s="210">
        <v>0</v>
      </c>
      <c r="Z5" s="213">
        <v>0</v>
      </c>
      <c r="AA5" s="213">
        <v>0</v>
      </c>
      <c r="AB5" s="213">
        <v>0</v>
      </c>
      <c r="AC5" s="213">
        <v>0</v>
      </c>
      <c r="AD5" s="214">
        <v>0</v>
      </c>
      <c r="AE5" s="210">
        <v>0</v>
      </c>
      <c r="AF5" s="213">
        <v>0</v>
      </c>
      <c r="AG5" s="213">
        <v>0</v>
      </c>
      <c r="AH5" s="213">
        <v>0</v>
      </c>
      <c r="AI5" s="213">
        <v>0</v>
      </c>
      <c r="AJ5" s="214">
        <v>0</v>
      </c>
      <c r="AK5" s="210">
        <v>0</v>
      </c>
      <c r="AL5" s="213">
        <v>0</v>
      </c>
      <c r="AM5" s="213">
        <v>0</v>
      </c>
      <c r="AN5" s="213">
        <v>0</v>
      </c>
      <c r="AO5" s="213">
        <v>0</v>
      </c>
      <c r="AP5" s="214">
        <v>0</v>
      </c>
      <c r="AQ5" s="215">
        <v>0</v>
      </c>
      <c r="AR5" s="216">
        <v>0</v>
      </c>
      <c r="AS5" s="217">
        <v>0</v>
      </c>
      <c r="AT5" s="228">
        <v>0</v>
      </c>
      <c r="AU5" s="229">
        <v>0</v>
      </c>
      <c r="AV5" s="229">
        <v>0</v>
      </c>
      <c r="AW5" s="230">
        <v>0</v>
      </c>
      <c r="AX5" s="228">
        <v>0</v>
      </c>
      <c r="AY5" s="229">
        <v>0</v>
      </c>
      <c r="AZ5" s="229">
        <v>0</v>
      </c>
      <c r="BA5" s="230">
        <v>0</v>
      </c>
      <c r="BB5" s="228">
        <v>0</v>
      </c>
      <c r="BC5" s="229">
        <v>0</v>
      </c>
      <c r="BD5" s="229">
        <v>0</v>
      </c>
      <c r="BE5" s="230">
        <v>0</v>
      </c>
      <c r="BF5" s="210">
        <v>0</v>
      </c>
      <c r="BG5" s="211">
        <v>0</v>
      </c>
      <c r="BH5" s="212">
        <v>0</v>
      </c>
      <c r="BI5" s="196">
        <f>I5-BH5</f>
        <v>0</v>
      </c>
    </row>
    <row r="6" spans="2:82">
      <c r="B6" s="195" t="s">
        <v>245</v>
      </c>
      <c r="C6" s="207">
        <v>134851</v>
      </c>
      <c r="D6" s="208">
        <v>134851</v>
      </c>
      <c r="E6" s="209">
        <v>1</v>
      </c>
      <c r="F6" s="209">
        <v>0</v>
      </c>
      <c r="G6" s="215">
        <v>134851</v>
      </c>
      <c r="H6" s="216">
        <v>134851</v>
      </c>
      <c r="I6" s="217">
        <v>0</v>
      </c>
      <c r="J6" s="215">
        <v>5901</v>
      </c>
      <c r="K6" s="216">
        <v>5901</v>
      </c>
      <c r="L6" s="217">
        <v>0</v>
      </c>
      <c r="M6" s="215">
        <v>0</v>
      </c>
      <c r="N6" s="216">
        <v>0</v>
      </c>
      <c r="O6" s="217">
        <v>0</v>
      </c>
      <c r="P6" s="215">
        <v>0</v>
      </c>
      <c r="Q6" s="216">
        <v>0</v>
      </c>
      <c r="R6" s="217">
        <v>0</v>
      </c>
      <c r="S6" s="215">
        <v>0</v>
      </c>
      <c r="T6" s="216">
        <v>0</v>
      </c>
      <c r="U6" s="217">
        <v>0</v>
      </c>
      <c r="V6" s="215">
        <v>11582</v>
      </c>
      <c r="W6" s="216">
        <v>11582</v>
      </c>
      <c r="X6" s="217">
        <v>0</v>
      </c>
      <c r="Y6" s="215">
        <v>-1182</v>
      </c>
      <c r="Z6" s="213">
        <v>-1182</v>
      </c>
      <c r="AA6" s="213">
        <v>-1182</v>
      </c>
      <c r="AB6" s="213">
        <v>-1182</v>
      </c>
      <c r="AC6" s="213">
        <v>-1182</v>
      </c>
      <c r="AD6" s="214">
        <v>-5672</v>
      </c>
      <c r="AE6" s="215">
        <v>-1182</v>
      </c>
      <c r="AF6" s="213">
        <v>-1182</v>
      </c>
      <c r="AG6" s="213">
        <v>-1182</v>
      </c>
      <c r="AH6" s="213">
        <v>-1182</v>
      </c>
      <c r="AI6" s="213">
        <v>-1182</v>
      </c>
      <c r="AJ6" s="214">
        <v>-5672</v>
      </c>
      <c r="AK6" s="215">
        <v>0</v>
      </c>
      <c r="AL6" s="213">
        <v>0</v>
      </c>
      <c r="AM6" s="213">
        <v>0</v>
      </c>
      <c r="AN6" s="213">
        <v>0</v>
      </c>
      <c r="AO6" s="213">
        <v>0</v>
      </c>
      <c r="AP6" s="214">
        <v>0</v>
      </c>
      <c r="AQ6" s="215">
        <v>5071</v>
      </c>
      <c r="AR6" s="216">
        <v>5071</v>
      </c>
      <c r="AS6" s="217">
        <v>0</v>
      </c>
      <c r="AT6" s="228">
        <v>155501</v>
      </c>
      <c r="AU6" s="229">
        <v>117988</v>
      </c>
      <c r="AV6" s="229">
        <v>134851</v>
      </c>
      <c r="AW6" s="230">
        <v>134851</v>
      </c>
      <c r="AX6" s="228">
        <v>155501</v>
      </c>
      <c r="AY6" s="229">
        <v>117988</v>
      </c>
      <c r="AZ6" s="229">
        <v>134851</v>
      </c>
      <c r="BA6" s="230">
        <v>134851</v>
      </c>
      <c r="BB6" s="228">
        <v>0</v>
      </c>
      <c r="BC6" s="229">
        <v>0</v>
      </c>
      <c r="BD6" s="229">
        <v>0</v>
      </c>
      <c r="BE6" s="230">
        <v>0</v>
      </c>
      <c r="BF6" s="215">
        <v>145332</v>
      </c>
      <c r="BG6" s="216">
        <v>145332</v>
      </c>
      <c r="BH6" s="217">
        <v>0</v>
      </c>
      <c r="BI6" s="196">
        <f t="shared" ref="BI6:BI69" si="0">I6-BH6</f>
        <v>0</v>
      </c>
    </row>
    <row r="7" spans="2:82">
      <c r="B7" s="195" t="s">
        <v>246</v>
      </c>
      <c r="C7" s="207">
        <v>502439</v>
      </c>
      <c r="D7" s="208">
        <v>502439</v>
      </c>
      <c r="E7" s="209">
        <v>1</v>
      </c>
      <c r="F7" s="209">
        <v>0</v>
      </c>
      <c r="G7" s="215">
        <v>502439</v>
      </c>
      <c r="H7" s="216">
        <v>502439</v>
      </c>
      <c r="I7" s="217">
        <v>0</v>
      </c>
      <c r="J7" s="215">
        <v>22464</v>
      </c>
      <c r="K7" s="216">
        <v>22464</v>
      </c>
      <c r="L7" s="216">
        <v>0</v>
      </c>
      <c r="M7" s="215">
        <v>0</v>
      </c>
      <c r="N7" s="216">
        <v>0</v>
      </c>
      <c r="O7" s="216">
        <v>0</v>
      </c>
      <c r="P7" s="215">
        <v>0</v>
      </c>
      <c r="Q7" s="216">
        <v>0</v>
      </c>
      <c r="R7" s="216">
        <v>0</v>
      </c>
      <c r="S7" s="215">
        <v>0</v>
      </c>
      <c r="T7" s="216">
        <v>0</v>
      </c>
      <c r="U7" s="216">
        <v>0</v>
      </c>
      <c r="V7" s="215">
        <v>43907</v>
      </c>
      <c r="W7" s="216">
        <v>43907</v>
      </c>
      <c r="X7" s="216">
        <v>0</v>
      </c>
      <c r="Y7" s="218">
        <v>-5047</v>
      </c>
      <c r="Z7" s="213">
        <v>-5047</v>
      </c>
      <c r="AA7" s="213">
        <v>-5047</v>
      </c>
      <c r="AB7" s="213">
        <v>-5047</v>
      </c>
      <c r="AC7" s="213">
        <v>-5047</v>
      </c>
      <c r="AD7" s="214">
        <v>-18672</v>
      </c>
      <c r="AE7" s="218">
        <v>-5047</v>
      </c>
      <c r="AF7" s="213">
        <v>-5047</v>
      </c>
      <c r="AG7" s="213">
        <v>-5047</v>
      </c>
      <c r="AH7" s="213">
        <v>-5047</v>
      </c>
      <c r="AI7" s="213">
        <v>-5047</v>
      </c>
      <c r="AJ7" s="214">
        <v>-18672</v>
      </c>
      <c r="AK7" s="218">
        <v>0</v>
      </c>
      <c r="AL7" s="213">
        <v>0</v>
      </c>
      <c r="AM7" s="213">
        <v>0</v>
      </c>
      <c r="AN7" s="213">
        <v>0</v>
      </c>
      <c r="AO7" s="213">
        <v>0</v>
      </c>
      <c r="AP7" s="214">
        <v>0</v>
      </c>
      <c r="AQ7" s="215">
        <v>19046</v>
      </c>
      <c r="AR7" s="216">
        <v>19046</v>
      </c>
      <c r="AS7" s="217">
        <v>0</v>
      </c>
      <c r="AT7" s="228">
        <v>581826</v>
      </c>
      <c r="AU7" s="229">
        <v>437807</v>
      </c>
      <c r="AV7" s="229">
        <v>502439</v>
      </c>
      <c r="AW7" s="230">
        <v>502439</v>
      </c>
      <c r="AX7" s="228">
        <v>581826</v>
      </c>
      <c r="AY7" s="229">
        <v>437807</v>
      </c>
      <c r="AZ7" s="229">
        <v>502439</v>
      </c>
      <c r="BA7" s="230">
        <v>502439</v>
      </c>
      <c r="BB7" s="228">
        <v>0</v>
      </c>
      <c r="BC7" s="229">
        <v>0</v>
      </c>
      <c r="BD7" s="229">
        <v>0</v>
      </c>
      <c r="BE7" s="230">
        <v>0</v>
      </c>
      <c r="BF7" s="215">
        <v>542332</v>
      </c>
      <c r="BG7" s="216">
        <v>542332</v>
      </c>
      <c r="BH7" s="217">
        <v>0</v>
      </c>
      <c r="BI7" s="196">
        <f t="shared" si="0"/>
        <v>0</v>
      </c>
    </row>
    <row r="8" spans="2:82">
      <c r="B8" s="195" t="s">
        <v>247</v>
      </c>
      <c r="C8" s="207">
        <v>1591676</v>
      </c>
      <c r="D8" s="208">
        <v>1591676</v>
      </c>
      <c r="E8" s="209">
        <v>1</v>
      </c>
      <c r="F8" s="209">
        <v>0</v>
      </c>
      <c r="G8" s="215">
        <v>1591676</v>
      </c>
      <c r="H8" s="216">
        <v>1591676</v>
      </c>
      <c r="I8" s="217">
        <v>0</v>
      </c>
      <c r="J8" s="215">
        <v>73242</v>
      </c>
      <c r="K8" s="216">
        <v>73242</v>
      </c>
      <c r="L8" s="216">
        <v>0</v>
      </c>
      <c r="M8" s="215">
        <v>0</v>
      </c>
      <c r="N8" s="216">
        <v>0</v>
      </c>
      <c r="O8" s="216">
        <v>0</v>
      </c>
      <c r="P8" s="215">
        <v>0</v>
      </c>
      <c r="Q8" s="216">
        <v>0</v>
      </c>
      <c r="R8" s="216">
        <v>0</v>
      </c>
      <c r="S8" s="215">
        <v>0</v>
      </c>
      <c r="T8" s="216">
        <v>0</v>
      </c>
      <c r="U8" s="216">
        <v>0</v>
      </c>
      <c r="V8" s="215">
        <v>132427</v>
      </c>
      <c r="W8" s="216">
        <v>132427</v>
      </c>
      <c r="X8" s="216">
        <v>0</v>
      </c>
      <c r="Y8" s="218">
        <v>-14552</v>
      </c>
      <c r="Z8" s="213">
        <v>-14552</v>
      </c>
      <c r="AA8" s="213">
        <v>-14552</v>
      </c>
      <c r="AB8" s="213">
        <v>-14552</v>
      </c>
      <c r="AC8" s="213">
        <v>-14552</v>
      </c>
      <c r="AD8" s="214">
        <v>-59667</v>
      </c>
      <c r="AE8" s="218">
        <v>-14552</v>
      </c>
      <c r="AF8" s="213">
        <v>-14552</v>
      </c>
      <c r="AG8" s="213">
        <v>-14552</v>
      </c>
      <c r="AH8" s="213">
        <v>-14552</v>
      </c>
      <c r="AI8" s="213">
        <v>-14552</v>
      </c>
      <c r="AJ8" s="214">
        <v>-59667</v>
      </c>
      <c r="AK8" s="218">
        <v>0</v>
      </c>
      <c r="AL8" s="213">
        <v>0</v>
      </c>
      <c r="AM8" s="213">
        <v>0</v>
      </c>
      <c r="AN8" s="213">
        <v>0</v>
      </c>
      <c r="AO8" s="213">
        <v>0</v>
      </c>
      <c r="AP8" s="214">
        <v>0</v>
      </c>
      <c r="AQ8" s="215">
        <v>64373</v>
      </c>
      <c r="AR8" s="216">
        <v>64373</v>
      </c>
      <c r="AS8" s="217">
        <v>0</v>
      </c>
      <c r="AT8" s="228">
        <v>1830029</v>
      </c>
      <c r="AU8" s="229">
        <v>1396037</v>
      </c>
      <c r="AV8" s="229">
        <v>1591676</v>
      </c>
      <c r="AW8" s="230">
        <v>1591676</v>
      </c>
      <c r="AX8" s="228">
        <v>1830029</v>
      </c>
      <c r="AY8" s="229">
        <v>1396037</v>
      </c>
      <c r="AZ8" s="229">
        <v>1591676</v>
      </c>
      <c r="BA8" s="230">
        <v>1591676</v>
      </c>
      <c r="BB8" s="228">
        <v>0</v>
      </c>
      <c r="BC8" s="229">
        <v>0</v>
      </c>
      <c r="BD8" s="229">
        <v>0</v>
      </c>
      <c r="BE8" s="230">
        <v>0</v>
      </c>
      <c r="BF8" s="215">
        <v>1713411</v>
      </c>
      <c r="BG8" s="216">
        <v>1713411</v>
      </c>
      <c r="BH8" s="217">
        <v>0</v>
      </c>
      <c r="BI8" s="196">
        <f t="shared" si="0"/>
        <v>0</v>
      </c>
    </row>
    <row r="9" spans="2:82">
      <c r="B9" s="195" t="s">
        <v>442</v>
      </c>
      <c r="C9" s="207">
        <v>379127</v>
      </c>
      <c r="D9" s="208">
        <v>379127</v>
      </c>
      <c r="E9" s="209">
        <v>1</v>
      </c>
      <c r="F9" s="209">
        <v>0</v>
      </c>
      <c r="G9" s="215">
        <v>379127</v>
      </c>
      <c r="H9" s="216">
        <v>379127</v>
      </c>
      <c r="I9" s="217">
        <v>0</v>
      </c>
      <c r="J9" s="215">
        <v>29172</v>
      </c>
      <c r="K9" s="216">
        <v>29172</v>
      </c>
      <c r="L9" s="216">
        <v>0</v>
      </c>
      <c r="M9" s="215">
        <v>0</v>
      </c>
      <c r="N9" s="216">
        <v>0</v>
      </c>
      <c r="O9" s="216">
        <v>0</v>
      </c>
      <c r="P9" s="215">
        <v>0</v>
      </c>
      <c r="Q9" s="216">
        <v>0</v>
      </c>
      <c r="R9" s="216">
        <v>0</v>
      </c>
      <c r="S9" s="215">
        <v>0</v>
      </c>
      <c r="T9" s="216">
        <v>0</v>
      </c>
      <c r="U9" s="216">
        <v>0</v>
      </c>
      <c r="V9" s="215">
        <v>47820</v>
      </c>
      <c r="W9" s="216">
        <v>47820</v>
      </c>
      <c r="X9" s="216">
        <v>0</v>
      </c>
      <c r="Y9" s="218">
        <v>-4554</v>
      </c>
      <c r="Z9" s="213">
        <v>-4554</v>
      </c>
      <c r="AA9" s="213">
        <v>-4554</v>
      </c>
      <c r="AB9" s="213">
        <v>-4554</v>
      </c>
      <c r="AC9" s="213">
        <v>-4554</v>
      </c>
      <c r="AD9" s="214">
        <v>-25050</v>
      </c>
      <c r="AE9" s="218">
        <v>-4554</v>
      </c>
      <c r="AF9" s="213">
        <v>-4554</v>
      </c>
      <c r="AG9" s="213">
        <v>-4554</v>
      </c>
      <c r="AH9" s="213">
        <v>-4554</v>
      </c>
      <c r="AI9" s="213">
        <v>-4554</v>
      </c>
      <c r="AJ9" s="214">
        <v>-25050</v>
      </c>
      <c r="AK9" s="218">
        <v>0</v>
      </c>
      <c r="AL9" s="213">
        <v>0</v>
      </c>
      <c r="AM9" s="213">
        <v>0</v>
      </c>
      <c r="AN9" s="213">
        <v>0</v>
      </c>
      <c r="AO9" s="213">
        <v>0</v>
      </c>
      <c r="AP9" s="214">
        <v>0</v>
      </c>
      <c r="AQ9" s="215">
        <v>304</v>
      </c>
      <c r="AR9" s="216">
        <v>304</v>
      </c>
      <c r="AS9" s="217">
        <v>0</v>
      </c>
      <c r="AT9" s="228">
        <v>464457</v>
      </c>
      <c r="AU9" s="229">
        <v>311039</v>
      </c>
      <c r="AV9" s="229">
        <v>379127</v>
      </c>
      <c r="AW9" s="230">
        <v>379127</v>
      </c>
      <c r="AX9" s="228">
        <v>464457</v>
      </c>
      <c r="AY9" s="229">
        <v>311039</v>
      </c>
      <c r="AZ9" s="229">
        <v>379127</v>
      </c>
      <c r="BA9" s="230">
        <v>379127</v>
      </c>
      <c r="BB9" s="228">
        <v>0</v>
      </c>
      <c r="BC9" s="229">
        <v>0</v>
      </c>
      <c r="BD9" s="229">
        <v>0</v>
      </c>
      <c r="BE9" s="230">
        <v>0</v>
      </c>
      <c r="BF9" s="215">
        <v>397775</v>
      </c>
      <c r="BG9" s="216">
        <v>397775</v>
      </c>
      <c r="BH9" s="217">
        <v>0</v>
      </c>
      <c r="BI9" s="196">
        <f t="shared" si="0"/>
        <v>0</v>
      </c>
    </row>
    <row r="10" spans="2:82">
      <c r="B10" s="195" t="s">
        <v>443</v>
      </c>
      <c r="C10" s="207">
        <v>15663</v>
      </c>
      <c r="D10" s="208">
        <v>15663</v>
      </c>
      <c r="E10" s="209">
        <v>1</v>
      </c>
      <c r="F10" s="209">
        <v>0</v>
      </c>
      <c r="G10" s="215">
        <v>15663</v>
      </c>
      <c r="H10" s="216">
        <v>15663</v>
      </c>
      <c r="I10" s="217">
        <v>0</v>
      </c>
      <c r="J10" s="215">
        <v>2693</v>
      </c>
      <c r="K10" s="216">
        <v>2693</v>
      </c>
      <c r="L10" s="216">
        <v>0</v>
      </c>
      <c r="M10" s="215">
        <v>0</v>
      </c>
      <c r="N10" s="216">
        <v>0</v>
      </c>
      <c r="O10" s="216">
        <v>0</v>
      </c>
      <c r="P10" s="215">
        <v>0</v>
      </c>
      <c r="Q10" s="216">
        <v>0</v>
      </c>
      <c r="R10" s="216">
        <v>0</v>
      </c>
      <c r="S10" s="215">
        <v>0</v>
      </c>
      <c r="T10" s="216">
        <v>0</v>
      </c>
      <c r="U10" s="216">
        <v>0</v>
      </c>
      <c r="V10" s="215">
        <v>2617</v>
      </c>
      <c r="W10" s="216">
        <v>2617</v>
      </c>
      <c r="X10" s="216">
        <v>0</v>
      </c>
      <c r="Y10" s="218">
        <v>-173</v>
      </c>
      <c r="Z10" s="213">
        <v>-173</v>
      </c>
      <c r="AA10" s="213">
        <v>-173</v>
      </c>
      <c r="AB10" s="213">
        <v>-173</v>
      </c>
      <c r="AC10" s="213">
        <v>-173</v>
      </c>
      <c r="AD10" s="214">
        <v>-1752</v>
      </c>
      <c r="AE10" s="218">
        <v>-173</v>
      </c>
      <c r="AF10" s="213">
        <v>-173</v>
      </c>
      <c r="AG10" s="213">
        <v>-173</v>
      </c>
      <c r="AH10" s="213">
        <v>-173</v>
      </c>
      <c r="AI10" s="213">
        <v>-173</v>
      </c>
      <c r="AJ10" s="214">
        <v>-1752</v>
      </c>
      <c r="AK10" s="218">
        <v>0</v>
      </c>
      <c r="AL10" s="213">
        <v>0</v>
      </c>
      <c r="AM10" s="213">
        <v>0</v>
      </c>
      <c r="AN10" s="213">
        <v>0</v>
      </c>
      <c r="AO10" s="213">
        <v>0</v>
      </c>
      <c r="AP10" s="214">
        <v>0</v>
      </c>
      <c r="AQ10" s="215">
        <v>0</v>
      </c>
      <c r="AR10" s="216">
        <v>0</v>
      </c>
      <c r="AS10" s="217">
        <v>0</v>
      </c>
      <c r="AT10" s="228">
        <v>20311</v>
      </c>
      <c r="AU10" s="229">
        <v>12002</v>
      </c>
      <c r="AV10" s="229">
        <v>15663</v>
      </c>
      <c r="AW10" s="230">
        <v>15663</v>
      </c>
      <c r="AX10" s="228">
        <v>20311</v>
      </c>
      <c r="AY10" s="229">
        <v>12002</v>
      </c>
      <c r="AZ10" s="229">
        <v>15663</v>
      </c>
      <c r="BA10" s="230">
        <v>15663</v>
      </c>
      <c r="BB10" s="228">
        <v>0</v>
      </c>
      <c r="BC10" s="229">
        <v>0</v>
      </c>
      <c r="BD10" s="229">
        <v>0</v>
      </c>
      <c r="BE10" s="230">
        <v>0</v>
      </c>
      <c r="BF10" s="215">
        <v>15587</v>
      </c>
      <c r="BG10" s="216">
        <v>15587</v>
      </c>
      <c r="BH10" s="217">
        <v>0</v>
      </c>
      <c r="BI10" s="196">
        <f t="shared" si="0"/>
        <v>0</v>
      </c>
    </row>
    <row r="11" spans="2:82">
      <c r="B11" s="195" t="s">
        <v>444</v>
      </c>
      <c r="C11" s="207">
        <v>37065</v>
      </c>
      <c r="D11" s="208">
        <v>37065</v>
      </c>
      <c r="E11" s="209">
        <v>1</v>
      </c>
      <c r="F11" s="209">
        <v>0</v>
      </c>
      <c r="G11" s="215">
        <v>37065</v>
      </c>
      <c r="H11" s="216">
        <v>37065</v>
      </c>
      <c r="I11" s="217">
        <v>0</v>
      </c>
      <c r="J11" s="215">
        <v>4605</v>
      </c>
      <c r="K11" s="216">
        <v>4605</v>
      </c>
      <c r="L11" s="216">
        <v>0</v>
      </c>
      <c r="M11" s="215">
        <v>0</v>
      </c>
      <c r="N11" s="216">
        <v>0</v>
      </c>
      <c r="O11" s="216">
        <v>0</v>
      </c>
      <c r="P11" s="215">
        <v>0</v>
      </c>
      <c r="Q11" s="216">
        <v>0</v>
      </c>
      <c r="R11" s="216">
        <v>0</v>
      </c>
      <c r="S11" s="215">
        <v>0</v>
      </c>
      <c r="T11" s="216">
        <v>0</v>
      </c>
      <c r="U11" s="216">
        <v>0</v>
      </c>
      <c r="V11" s="215">
        <v>5064</v>
      </c>
      <c r="W11" s="216">
        <v>5064</v>
      </c>
      <c r="X11" s="216">
        <v>0</v>
      </c>
      <c r="Y11" s="218">
        <v>-396</v>
      </c>
      <c r="Z11" s="213">
        <v>-396</v>
      </c>
      <c r="AA11" s="213">
        <v>-396</v>
      </c>
      <c r="AB11" s="213">
        <v>-396</v>
      </c>
      <c r="AC11" s="213">
        <v>-396</v>
      </c>
      <c r="AD11" s="214">
        <v>-3084</v>
      </c>
      <c r="AE11" s="218">
        <v>-396</v>
      </c>
      <c r="AF11" s="213">
        <v>-396</v>
      </c>
      <c r="AG11" s="213">
        <v>-396</v>
      </c>
      <c r="AH11" s="213">
        <v>-396</v>
      </c>
      <c r="AI11" s="213">
        <v>-396</v>
      </c>
      <c r="AJ11" s="214">
        <v>-3084</v>
      </c>
      <c r="AK11" s="218">
        <v>0</v>
      </c>
      <c r="AL11" s="213">
        <v>0</v>
      </c>
      <c r="AM11" s="213">
        <v>0</v>
      </c>
      <c r="AN11" s="213">
        <v>0</v>
      </c>
      <c r="AO11" s="213">
        <v>0</v>
      </c>
      <c r="AP11" s="214">
        <v>0</v>
      </c>
      <c r="AQ11" s="215">
        <v>0</v>
      </c>
      <c r="AR11" s="216">
        <v>0</v>
      </c>
      <c r="AS11" s="217">
        <v>0</v>
      </c>
      <c r="AT11" s="228">
        <v>45902</v>
      </c>
      <c r="AU11" s="229">
        <v>30103</v>
      </c>
      <c r="AV11" s="229">
        <v>37065</v>
      </c>
      <c r="AW11" s="230">
        <v>37065</v>
      </c>
      <c r="AX11" s="228">
        <v>45902</v>
      </c>
      <c r="AY11" s="229">
        <v>30103</v>
      </c>
      <c r="AZ11" s="229">
        <v>37065</v>
      </c>
      <c r="BA11" s="230">
        <v>37065</v>
      </c>
      <c r="BB11" s="228">
        <v>0</v>
      </c>
      <c r="BC11" s="229">
        <v>0</v>
      </c>
      <c r="BD11" s="229">
        <v>0</v>
      </c>
      <c r="BE11" s="230">
        <v>0</v>
      </c>
      <c r="BF11" s="215">
        <v>37524</v>
      </c>
      <c r="BG11" s="216">
        <v>37524</v>
      </c>
      <c r="BH11" s="217">
        <v>0</v>
      </c>
      <c r="BI11" s="196">
        <f t="shared" si="0"/>
        <v>0</v>
      </c>
    </row>
    <row r="12" spans="2:82">
      <c r="B12" s="195" t="s">
        <v>445</v>
      </c>
      <c r="C12" s="207">
        <v>53763</v>
      </c>
      <c r="D12" s="208">
        <v>53763</v>
      </c>
      <c r="E12" s="209">
        <v>1</v>
      </c>
      <c r="F12" s="209">
        <v>0</v>
      </c>
      <c r="G12" s="215">
        <v>53763</v>
      </c>
      <c r="H12" s="216">
        <v>53763</v>
      </c>
      <c r="I12" s="217">
        <v>0</v>
      </c>
      <c r="J12" s="215">
        <v>6488</v>
      </c>
      <c r="K12" s="216">
        <v>6488</v>
      </c>
      <c r="L12" s="216">
        <v>0</v>
      </c>
      <c r="M12" s="215">
        <v>0</v>
      </c>
      <c r="N12" s="216">
        <v>0</v>
      </c>
      <c r="O12" s="216">
        <v>0</v>
      </c>
      <c r="P12" s="215">
        <v>0</v>
      </c>
      <c r="Q12" s="216">
        <v>0</v>
      </c>
      <c r="R12" s="216">
        <v>0</v>
      </c>
      <c r="S12" s="215">
        <v>0</v>
      </c>
      <c r="T12" s="216">
        <v>0</v>
      </c>
      <c r="U12" s="216">
        <v>0</v>
      </c>
      <c r="V12" s="215">
        <v>8179</v>
      </c>
      <c r="W12" s="216">
        <v>8179</v>
      </c>
      <c r="X12" s="216">
        <v>0</v>
      </c>
      <c r="Y12" s="218">
        <v>-597</v>
      </c>
      <c r="Z12" s="213">
        <v>-597</v>
      </c>
      <c r="AA12" s="213">
        <v>-597</v>
      </c>
      <c r="AB12" s="213">
        <v>-597</v>
      </c>
      <c r="AC12" s="213">
        <v>-597</v>
      </c>
      <c r="AD12" s="214">
        <v>-5194</v>
      </c>
      <c r="AE12" s="218">
        <v>-597</v>
      </c>
      <c r="AF12" s="213">
        <v>-597</v>
      </c>
      <c r="AG12" s="213">
        <v>-597</v>
      </c>
      <c r="AH12" s="213">
        <v>-597</v>
      </c>
      <c r="AI12" s="213">
        <v>-597</v>
      </c>
      <c r="AJ12" s="214">
        <v>-5194</v>
      </c>
      <c r="AK12" s="218">
        <v>0</v>
      </c>
      <c r="AL12" s="213">
        <v>0</v>
      </c>
      <c r="AM12" s="213">
        <v>0</v>
      </c>
      <c r="AN12" s="213">
        <v>0</v>
      </c>
      <c r="AO12" s="213">
        <v>0</v>
      </c>
      <c r="AP12" s="214">
        <v>0</v>
      </c>
      <c r="AQ12" s="215">
        <v>0</v>
      </c>
      <c r="AR12" s="216">
        <v>0</v>
      </c>
      <c r="AS12" s="217">
        <v>0</v>
      </c>
      <c r="AT12" s="228">
        <v>68141</v>
      </c>
      <c r="AU12" s="229">
        <v>42441</v>
      </c>
      <c r="AV12" s="229">
        <v>53763</v>
      </c>
      <c r="AW12" s="230">
        <v>53763</v>
      </c>
      <c r="AX12" s="228">
        <v>68141</v>
      </c>
      <c r="AY12" s="229">
        <v>42441</v>
      </c>
      <c r="AZ12" s="229">
        <v>53763</v>
      </c>
      <c r="BA12" s="230">
        <v>53763</v>
      </c>
      <c r="BB12" s="228">
        <v>0</v>
      </c>
      <c r="BC12" s="229">
        <v>0</v>
      </c>
      <c r="BD12" s="229">
        <v>0</v>
      </c>
      <c r="BE12" s="230">
        <v>0</v>
      </c>
      <c r="BF12" s="215">
        <v>55454</v>
      </c>
      <c r="BG12" s="216">
        <v>55454</v>
      </c>
      <c r="BH12" s="217">
        <v>0</v>
      </c>
      <c r="BI12" s="196">
        <f t="shared" si="0"/>
        <v>0</v>
      </c>
    </row>
    <row r="13" spans="2:82">
      <c r="B13" s="195" t="s">
        <v>446</v>
      </c>
      <c r="C13" s="207">
        <v>11529</v>
      </c>
      <c r="D13" s="208">
        <v>11529</v>
      </c>
      <c r="E13" s="209">
        <v>1</v>
      </c>
      <c r="F13" s="209">
        <v>0</v>
      </c>
      <c r="G13" s="215">
        <v>11529</v>
      </c>
      <c r="H13" s="216">
        <v>11529</v>
      </c>
      <c r="I13" s="217">
        <v>0</v>
      </c>
      <c r="J13" s="215">
        <v>1626</v>
      </c>
      <c r="K13" s="216">
        <v>1626</v>
      </c>
      <c r="L13" s="216">
        <v>0</v>
      </c>
      <c r="M13" s="215">
        <v>0</v>
      </c>
      <c r="N13" s="216">
        <v>0</v>
      </c>
      <c r="O13" s="216">
        <v>0</v>
      </c>
      <c r="P13" s="215">
        <v>0</v>
      </c>
      <c r="Q13" s="216">
        <v>0</v>
      </c>
      <c r="R13" s="216">
        <v>0</v>
      </c>
      <c r="S13" s="215">
        <v>0</v>
      </c>
      <c r="T13" s="216">
        <v>0</v>
      </c>
      <c r="U13" s="216">
        <v>0</v>
      </c>
      <c r="V13" s="215">
        <v>2013</v>
      </c>
      <c r="W13" s="216">
        <v>2013</v>
      </c>
      <c r="X13" s="216">
        <v>0</v>
      </c>
      <c r="Y13" s="218">
        <v>-142</v>
      </c>
      <c r="Z13" s="213">
        <v>-142</v>
      </c>
      <c r="AA13" s="213">
        <v>-142</v>
      </c>
      <c r="AB13" s="213">
        <v>-142</v>
      </c>
      <c r="AC13" s="213">
        <v>-142</v>
      </c>
      <c r="AD13" s="214">
        <v>-1303</v>
      </c>
      <c r="AE13" s="218">
        <v>-142</v>
      </c>
      <c r="AF13" s="213">
        <v>-142</v>
      </c>
      <c r="AG13" s="213">
        <v>-142</v>
      </c>
      <c r="AH13" s="213">
        <v>-142</v>
      </c>
      <c r="AI13" s="213">
        <v>-142</v>
      </c>
      <c r="AJ13" s="214">
        <v>-1303</v>
      </c>
      <c r="AK13" s="218">
        <v>0</v>
      </c>
      <c r="AL13" s="213">
        <v>0</v>
      </c>
      <c r="AM13" s="213">
        <v>0</v>
      </c>
      <c r="AN13" s="213">
        <v>0</v>
      </c>
      <c r="AO13" s="213">
        <v>0</v>
      </c>
      <c r="AP13" s="214">
        <v>0</v>
      </c>
      <c r="AQ13" s="215">
        <v>0</v>
      </c>
      <c r="AR13" s="216">
        <v>0</v>
      </c>
      <c r="AS13" s="217">
        <v>0</v>
      </c>
      <c r="AT13" s="228">
        <v>15075</v>
      </c>
      <c r="AU13" s="229">
        <v>8791</v>
      </c>
      <c r="AV13" s="229">
        <v>11529</v>
      </c>
      <c r="AW13" s="230">
        <v>11529</v>
      </c>
      <c r="AX13" s="228">
        <v>15075</v>
      </c>
      <c r="AY13" s="229">
        <v>8791</v>
      </c>
      <c r="AZ13" s="229">
        <v>11529</v>
      </c>
      <c r="BA13" s="230">
        <v>11529</v>
      </c>
      <c r="BB13" s="228">
        <v>0</v>
      </c>
      <c r="BC13" s="229">
        <v>0</v>
      </c>
      <c r="BD13" s="229">
        <v>0</v>
      </c>
      <c r="BE13" s="230">
        <v>0</v>
      </c>
      <c r="BF13" s="215">
        <v>11916</v>
      </c>
      <c r="BG13" s="216">
        <v>11916</v>
      </c>
      <c r="BH13" s="217">
        <v>0</v>
      </c>
      <c r="BI13" s="196">
        <f t="shared" si="0"/>
        <v>0</v>
      </c>
    </row>
    <row r="14" spans="2:82">
      <c r="B14" s="195" t="s">
        <v>248</v>
      </c>
      <c r="C14" s="207">
        <v>688300</v>
      </c>
      <c r="D14" s="208">
        <v>688300</v>
      </c>
      <c r="E14" s="209">
        <v>1</v>
      </c>
      <c r="F14" s="209">
        <v>0</v>
      </c>
      <c r="G14" s="215">
        <v>688300</v>
      </c>
      <c r="H14" s="216">
        <v>688300</v>
      </c>
      <c r="I14" s="217">
        <v>0</v>
      </c>
      <c r="J14" s="215">
        <v>22680</v>
      </c>
      <c r="K14" s="216">
        <v>22680</v>
      </c>
      <c r="L14" s="216">
        <v>0</v>
      </c>
      <c r="M14" s="215">
        <v>0</v>
      </c>
      <c r="N14" s="216">
        <v>0</v>
      </c>
      <c r="O14" s="216">
        <v>0</v>
      </c>
      <c r="P14" s="215">
        <v>0</v>
      </c>
      <c r="Q14" s="216">
        <v>0</v>
      </c>
      <c r="R14" s="216">
        <v>0</v>
      </c>
      <c r="S14" s="215">
        <v>0</v>
      </c>
      <c r="T14" s="216">
        <v>0</v>
      </c>
      <c r="U14" s="216">
        <v>0</v>
      </c>
      <c r="V14" s="215">
        <v>46747</v>
      </c>
      <c r="W14" s="216">
        <v>46747</v>
      </c>
      <c r="X14" s="216">
        <v>0</v>
      </c>
      <c r="Y14" s="218">
        <v>-6977</v>
      </c>
      <c r="Z14" s="213">
        <v>-6977</v>
      </c>
      <c r="AA14" s="213">
        <v>-6977</v>
      </c>
      <c r="AB14" s="213">
        <v>-6977</v>
      </c>
      <c r="AC14" s="213">
        <v>-6977</v>
      </c>
      <c r="AD14" s="214">
        <v>-11862</v>
      </c>
      <c r="AE14" s="218">
        <v>-6977</v>
      </c>
      <c r="AF14" s="213">
        <v>-6977</v>
      </c>
      <c r="AG14" s="213">
        <v>-6977</v>
      </c>
      <c r="AH14" s="213">
        <v>-6977</v>
      </c>
      <c r="AI14" s="213">
        <v>-6977</v>
      </c>
      <c r="AJ14" s="214">
        <v>-11862</v>
      </c>
      <c r="AK14" s="218">
        <v>0</v>
      </c>
      <c r="AL14" s="213">
        <v>0</v>
      </c>
      <c r="AM14" s="213">
        <v>0</v>
      </c>
      <c r="AN14" s="213">
        <v>0</v>
      </c>
      <c r="AO14" s="213">
        <v>0</v>
      </c>
      <c r="AP14" s="214">
        <v>0</v>
      </c>
      <c r="AQ14" s="215">
        <v>41143</v>
      </c>
      <c r="AR14" s="216">
        <v>41143</v>
      </c>
      <c r="AS14" s="217">
        <v>0</v>
      </c>
      <c r="AT14" s="228">
        <v>775250</v>
      </c>
      <c r="AU14" s="229">
        <v>616142</v>
      </c>
      <c r="AV14" s="229">
        <v>688300</v>
      </c>
      <c r="AW14" s="230">
        <v>688300</v>
      </c>
      <c r="AX14" s="228">
        <v>775250</v>
      </c>
      <c r="AY14" s="229">
        <v>616142</v>
      </c>
      <c r="AZ14" s="229">
        <v>688300</v>
      </c>
      <c r="BA14" s="230">
        <v>688300</v>
      </c>
      <c r="BB14" s="228">
        <v>0</v>
      </c>
      <c r="BC14" s="229">
        <v>0</v>
      </c>
      <c r="BD14" s="229">
        <v>0</v>
      </c>
      <c r="BE14" s="230">
        <v>0</v>
      </c>
      <c r="BF14" s="215">
        <v>753917</v>
      </c>
      <c r="BG14" s="216">
        <v>753917</v>
      </c>
      <c r="BH14" s="217">
        <v>0</v>
      </c>
      <c r="BI14" s="196">
        <f t="shared" si="0"/>
        <v>0</v>
      </c>
    </row>
    <row r="15" spans="2:82">
      <c r="B15" s="195" t="s">
        <v>447</v>
      </c>
      <c r="C15" s="207">
        <v>962633</v>
      </c>
      <c r="D15" s="208">
        <v>962633</v>
      </c>
      <c r="E15" s="209">
        <v>1</v>
      </c>
      <c r="F15" s="209">
        <v>0</v>
      </c>
      <c r="G15" s="215">
        <v>962633</v>
      </c>
      <c r="H15" s="216">
        <v>962633</v>
      </c>
      <c r="I15" s="217">
        <v>0</v>
      </c>
      <c r="J15" s="215">
        <v>69197</v>
      </c>
      <c r="K15" s="216">
        <v>69197</v>
      </c>
      <c r="L15" s="216">
        <v>0</v>
      </c>
      <c r="M15" s="215">
        <v>0</v>
      </c>
      <c r="N15" s="216">
        <v>0</v>
      </c>
      <c r="O15" s="216">
        <v>0</v>
      </c>
      <c r="P15" s="215">
        <v>0</v>
      </c>
      <c r="Q15" s="216">
        <v>0</v>
      </c>
      <c r="R15" s="216">
        <v>0</v>
      </c>
      <c r="S15" s="215">
        <v>0</v>
      </c>
      <c r="T15" s="216">
        <v>0</v>
      </c>
      <c r="U15" s="216">
        <v>0</v>
      </c>
      <c r="V15" s="215">
        <v>115295</v>
      </c>
      <c r="W15" s="216">
        <v>115295</v>
      </c>
      <c r="X15" s="216">
        <v>0</v>
      </c>
      <c r="Y15" s="218">
        <v>-10981</v>
      </c>
      <c r="Z15" s="213">
        <v>-10981</v>
      </c>
      <c r="AA15" s="213">
        <v>-10981</v>
      </c>
      <c r="AB15" s="213">
        <v>-10981</v>
      </c>
      <c r="AC15" s="213">
        <v>-10981</v>
      </c>
      <c r="AD15" s="214">
        <v>-60390</v>
      </c>
      <c r="AE15" s="218">
        <v>-10981</v>
      </c>
      <c r="AF15" s="213">
        <v>-10981</v>
      </c>
      <c r="AG15" s="213">
        <v>-10981</v>
      </c>
      <c r="AH15" s="213">
        <v>-10981</v>
      </c>
      <c r="AI15" s="213">
        <v>-10981</v>
      </c>
      <c r="AJ15" s="214">
        <v>-60390</v>
      </c>
      <c r="AK15" s="218">
        <v>0</v>
      </c>
      <c r="AL15" s="213">
        <v>0</v>
      </c>
      <c r="AM15" s="213">
        <v>0</v>
      </c>
      <c r="AN15" s="213">
        <v>0</v>
      </c>
      <c r="AO15" s="213">
        <v>0</v>
      </c>
      <c r="AP15" s="214">
        <v>0</v>
      </c>
      <c r="AQ15" s="215">
        <v>731</v>
      </c>
      <c r="AR15" s="216">
        <v>731</v>
      </c>
      <c r="AS15" s="217">
        <v>0</v>
      </c>
      <c r="AT15" s="228">
        <v>1168219</v>
      </c>
      <c r="AU15" s="229">
        <v>797935</v>
      </c>
      <c r="AV15" s="229">
        <v>962633</v>
      </c>
      <c r="AW15" s="230">
        <v>962633</v>
      </c>
      <c r="AX15" s="228">
        <v>1168219</v>
      </c>
      <c r="AY15" s="229">
        <v>797935</v>
      </c>
      <c r="AZ15" s="229">
        <v>962633</v>
      </c>
      <c r="BA15" s="230">
        <v>962633</v>
      </c>
      <c r="BB15" s="228">
        <v>0</v>
      </c>
      <c r="BC15" s="229">
        <v>0</v>
      </c>
      <c r="BD15" s="229">
        <v>0</v>
      </c>
      <c r="BE15" s="230">
        <v>0</v>
      </c>
      <c r="BF15" s="215">
        <v>1008731</v>
      </c>
      <c r="BG15" s="216">
        <v>1008731</v>
      </c>
      <c r="BH15" s="217">
        <v>0</v>
      </c>
      <c r="BI15" s="196">
        <f t="shared" si="0"/>
        <v>0</v>
      </c>
    </row>
    <row r="16" spans="2:82">
      <c r="B16" s="195" t="s">
        <v>249</v>
      </c>
      <c r="C16" s="207">
        <v>1437741</v>
      </c>
      <c r="D16" s="208">
        <v>1437741</v>
      </c>
      <c r="E16" s="209">
        <v>1</v>
      </c>
      <c r="F16" s="209">
        <v>0</v>
      </c>
      <c r="G16" s="215">
        <v>1437741</v>
      </c>
      <c r="H16" s="216">
        <v>1437741</v>
      </c>
      <c r="I16" s="217">
        <v>0</v>
      </c>
      <c r="J16" s="215">
        <v>75460</v>
      </c>
      <c r="K16" s="216">
        <v>75460</v>
      </c>
      <c r="L16" s="216">
        <v>0</v>
      </c>
      <c r="M16" s="215">
        <v>0</v>
      </c>
      <c r="N16" s="216">
        <v>0</v>
      </c>
      <c r="O16" s="216">
        <v>0</v>
      </c>
      <c r="P16" s="215">
        <v>0</v>
      </c>
      <c r="Q16" s="216">
        <v>0</v>
      </c>
      <c r="R16" s="216">
        <v>0</v>
      </c>
      <c r="S16" s="215">
        <v>0</v>
      </c>
      <c r="T16" s="216">
        <v>0</v>
      </c>
      <c r="U16" s="216">
        <v>0</v>
      </c>
      <c r="V16" s="215">
        <v>130967</v>
      </c>
      <c r="W16" s="216">
        <v>130967</v>
      </c>
      <c r="X16" s="216">
        <v>0</v>
      </c>
      <c r="Y16" s="218">
        <v>-14082</v>
      </c>
      <c r="Z16" s="213">
        <v>-14082</v>
      </c>
      <c r="AA16" s="213">
        <v>-14082</v>
      </c>
      <c r="AB16" s="213">
        <v>-14082</v>
      </c>
      <c r="AC16" s="213">
        <v>-14082</v>
      </c>
      <c r="AD16" s="214">
        <v>-60557</v>
      </c>
      <c r="AE16" s="218">
        <v>-14082</v>
      </c>
      <c r="AF16" s="213">
        <v>-14082</v>
      </c>
      <c r="AG16" s="213">
        <v>-14082</v>
      </c>
      <c r="AH16" s="213">
        <v>-14082</v>
      </c>
      <c r="AI16" s="213">
        <v>-14082</v>
      </c>
      <c r="AJ16" s="214">
        <v>-60557</v>
      </c>
      <c r="AK16" s="218">
        <v>0</v>
      </c>
      <c r="AL16" s="213">
        <v>0</v>
      </c>
      <c r="AM16" s="213">
        <v>0</v>
      </c>
      <c r="AN16" s="213">
        <v>0</v>
      </c>
      <c r="AO16" s="213">
        <v>0</v>
      </c>
      <c r="AP16" s="214">
        <v>0</v>
      </c>
      <c r="AQ16" s="215">
        <v>49940</v>
      </c>
      <c r="AR16" s="216">
        <v>49940</v>
      </c>
      <c r="AS16" s="217">
        <v>0</v>
      </c>
      <c r="AT16" s="228">
        <v>1672907</v>
      </c>
      <c r="AU16" s="229">
        <v>1246124</v>
      </c>
      <c r="AV16" s="229">
        <v>1437741</v>
      </c>
      <c r="AW16" s="230">
        <v>1437741</v>
      </c>
      <c r="AX16" s="228">
        <v>1672907</v>
      </c>
      <c r="AY16" s="229">
        <v>1246124</v>
      </c>
      <c r="AZ16" s="229">
        <v>1437741</v>
      </c>
      <c r="BA16" s="230">
        <v>1437741</v>
      </c>
      <c r="BB16" s="228">
        <v>0</v>
      </c>
      <c r="BC16" s="229">
        <v>0</v>
      </c>
      <c r="BD16" s="229">
        <v>0</v>
      </c>
      <c r="BE16" s="230">
        <v>0</v>
      </c>
      <c r="BF16" s="215">
        <v>1542298</v>
      </c>
      <c r="BG16" s="216">
        <v>1542298</v>
      </c>
      <c r="BH16" s="217">
        <v>0</v>
      </c>
      <c r="BI16" s="196">
        <f t="shared" si="0"/>
        <v>0</v>
      </c>
    </row>
    <row r="17" spans="2:61">
      <c r="B17" s="195" t="s">
        <v>250</v>
      </c>
      <c r="C17" s="207">
        <v>263644</v>
      </c>
      <c r="D17" s="208">
        <v>117561</v>
      </c>
      <c r="E17" s="209">
        <v>0.44590800000000003</v>
      </c>
      <c r="F17" s="209">
        <v>0.55409200000000003</v>
      </c>
      <c r="G17" s="215">
        <v>263644</v>
      </c>
      <c r="H17" s="216">
        <v>117561</v>
      </c>
      <c r="I17" s="217">
        <v>146083</v>
      </c>
      <c r="J17" s="215">
        <v>14253</v>
      </c>
      <c r="K17" s="216">
        <v>6356</v>
      </c>
      <c r="L17" s="216">
        <v>7897</v>
      </c>
      <c r="M17" s="215">
        <v>0</v>
      </c>
      <c r="N17" s="216">
        <v>0</v>
      </c>
      <c r="O17" s="216">
        <v>0</v>
      </c>
      <c r="P17" s="215">
        <v>0</v>
      </c>
      <c r="Q17" s="216">
        <v>0</v>
      </c>
      <c r="R17" s="216">
        <v>0</v>
      </c>
      <c r="S17" s="215">
        <v>0</v>
      </c>
      <c r="T17" s="216">
        <v>0</v>
      </c>
      <c r="U17" s="216">
        <v>0</v>
      </c>
      <c r="V17" s="215">
        <v>26840</v>
      </c>
      <c r="W17" s="216">
        <v>11968</v>
      </c>
      <c r="X17" s="216">
        <v>14872</v>
      </c>
      <c r="Y17" s="218">
        <v>-2886</v>
      </c>
      <c r="Z17" s="213">
        <v>-2886</v>
      </c>
      <c r="AA17" s="213">
        <v>-2886</v>
      </c>
      <c r="AB17" s="213">
        <v>-2886</v>
      </c>
      <c r="AC17" s="213">
        <v>-2886</v>
      </c>
      <c r="AD17" s="214">
        <v>-12410</v>
      </c>
      <c r="AE17" s="218">
        <v>-1286.890488</v>
      </c>
      <c r="AF17" s="213">
        <v>-1286.890488</v>
      </c>
      <c r="AG17" s="213">
        <v>-1286.890488</v>
      </c>
      <c r="AH17" s="213">
        <v>-1286.890488</v>
      </c>
      <c r="AI17" s="213">
        <v>-1286.890488</v>
      </c>
      <c r="AJ17" s="214">
        <v>-5533.71828</v>
      </c>
      <c r="AK17" s="218">
        <v>-1599.109512</v>
      </c>
      <c r="AL17" s="213">
        <v>-1599.109512</v>
      </c>
      <c r="AM17" s="213">
        <v>-1599.109512</v>
      </c>
      <c r="AN17" s="213">
        <v>-1599.109512</v>
      </c>
      <c r="AO17" s="213">
        <v>-1599.109512</v>
      </c>
      <c r="AP17" s="214">
        <v>-6876.28172</v>
      </c>
      <c r="AQ17" s="215">
        <v>7539</v>
      </c>
      <c r="AR17" s="216">
        <v>3709</v>
      </c>
      <c r="AS17" s="217">
        <v>3830</v>
      </c>
      <c r="AT17" s="228">
        <v>312176</v>
      </c>
      <c r="AU17" s="229">
        <v>224523</v>
      </c>
      <c r="AV17" s="229">
        <v>263644</v>
      </c>
      <c r="AW17" s="230">
        <v>263644</v>
      </c>
      <c r="AX17" s="228">
        <v>139035</v>
      </c>
      <c r="AY17" s="229">
        <v>100265</v>
      </c>
      <c r="AZ17" s="229">
        <v>117561</v>
      </c>
      <c r="BA17" s="230">
        <v>117561</v>
      </c>
      <c r="BB17" s="228">
        <v>172974.22419200002</v>
      </c>
      <c r="BC17" s="229">
        <v>124406.39811600001</v>
      </c>
      <c r="BD17" s="229">
        <v>146083.03124800001</v>
      </c>
      <c r="BE17" s="230">
        <v>146083.03124800001</v>
      </c>
      <c r="BF17" s="215">
        <v>283131</v>
      </c>
      <c r="BG17" s="216">
        <v>126250</v>
      </c>
      <c r="BH17" s="217">
        <v>156881</v>
      </c>
      <c r="BI17" s="196">
        <f t="shared" si="0"/>
        <v>-10798</v>
      </c>
    </row>
    <row r="18" spans="2:61">
      <c r="B18" s="195" t="s">
        <v>251</v>
      </c>
      <c r="C18" s="207">
        <v>764470</v>
      </c>
      <c r="D18" s="208">
        <v>764470</v>
      </c>
      <c r="E18" s="209">
        <v>1</v>
      </c>
      <c r="F18" s="209">
        <v>0</v>
      </c>
      <c r="G18" s="215">
        <v>764470</v>
      </c>
      <c r="H18" s="216">
        <v>764470</v>
      </c>
      <c r="I18" s="217">
        <v>0</v>
      </c>
      <c r="J18" s="215">
        <v>32201</v>
      </c>
      <c r="K18" s="216">
        <v>32201</v>
      </c>
      <c r="L18" s="216">
        <v>0</v>
      </c>
      <c r="M18" s="215">
        <v>0</v>
      </c>
      <c r="N18" s="216">
        <v>0</v>
      </c>
      <c r="O18" s="216">
        <v>0</v>
      </c>
      <c r="P18" s="215">
        <v>0</v>
      </c>
      <c r="Q18" s="216">
        <v>0</v>
      </c>
      <c r="R18" s="216">
        <v>0</v>
      </c>
      <c r="S18" s="215">
        <v>0</v>
      </c>
      <c r="T18" s="216">
        <v>0</v>
      </c>
      <c r="U18" s="216">
        <v>0</v>
      </c>
      <c r="V18" s="215">
        <v>57584</v>
      </c>
      <c r="W18" s="216">
        <v>57584</v>
      </c>
      <c r="X18" s="216">
        <v>0</v>
      </c>
      <c r="Y18" s="218">
        <v>-7888</v>
      </c>
      <c r="Z18" s="213">
        <v>-7888</v>
      </c>
      <c r="AA18" s="213">
        <v>-7888</v>
      </c>
      <c r="AB18" s="213">
        <v>-7888</v>
      </c>
      <c r="AC18" s="213">
        <v>-7888</v>
      </c>
      <c r="AD18" s="214">
        <v>-18144</v>
      </c>
      <c r="AE18" s="218">
        <v>-7888</v>
      </c>
      <c r="AF18" s="213">
        <v>-7888</v>
      </c>
      <c r="AG18" s="213">
        <v>-7888</v>
      </c>
      <c r="AH18" s="213">
        <v>-7888</v>
      </c>
      <c r="AI18" s="213">
        <v>-7888</v>
      </c>
      <c r="AJ18" s="214">
        <v>-18144</v>
      </c>
      <c r="AK18" s="218">
        <v>0</v>
      </c>
      <c r="AL18" s="213">
        <v>0</v>
      </c>
      <c r="AM18" s="213">
        <v>0</v>
      </c>
      <c r="AN18" s="213">
        <v>0</v>
      </c>
      <c r="AO18" s="213">
        <v>0</v>
      </c>
      <c r="AP18" s="214">
        <v>0</v>
      </c>
      <c r="AQ18" s="215">
        <v>35458</v>
      </c>
      <c r="AR18" s="216">
        <v>35458</v>
      </c>
      <c r="AS18" s="217">
        <v>0</v>
      </c>
      <c r="AT18" s="228">
        <v>870421</v>
      </c>
      <c r="AU18" s="229">
        <v>676737</v>
      </c>
      <c r="AV18" s="229">
        <v>764470</v>
      </c>
      <c r="AW18" s="230">
        <v>764470</v>
      </c>
      <c r="AX18" s="228">
        <v>870421</v>
      </c>
      <c r="AY18" s="229">
        <v>676737</v>
      </c>
      <c r="AZ18" s="229">
        <v>764470</v>
      </c>
      <c r="BA18" s="230">
        <v>764470</v>
      </c>
      <c r="BB18" s="228">
        <v>0</v>
      </c>
      <c r="BC18" s="229">
        <v>0</v>
      </c>
      <c r="BD18" s="229">
        <v>0</v>
      </c>
      <c r="BE18" s="230">
        <v>0</v>
      </c>
      <c r="BF18" s="215">
        <v>824353</v>
      </c>
      <c r="BG18" s="216">
        <v>824353</v>
      </c>
      <c r="BH18" s="217">
        <v>0</v>
      </c>
      <c r="BI18" s="196">
        <f t="shared" si="0"/>
        <v>0</v>
      </c>
    </row>
    <row r="19" spans="2:61">
      <c r="B19" s="195" t="s">
        <v>252</v>
      </c>
      <c r="C19" s="207">
        <v>459987</v>
      </c>
      <c r="D19" s="208">
        <v>459987</v>
      </c>
      <c r="E19" s="209">
        <v>1</v>
      </c>
      <c r="F19" s="209">
        <v>0</v>
      </c>
      <c r="G19" s="215">
        <v>459987</v>
      </c>
      <c r="H19" s="216">
        <v>459987</v>
      </c>
      <c r="I19" s="217">
        <v>0</v>
      </c>
      <c r="J19" s="215">
        <v>22114</v>
      </c>
      <c r="K19" s="216">
        <v>22114</v>
      </c>
      <c r="L19" s="216">
        <v>0</v>
      </c>
      <c r="M19" s="215">
        <v>0</v>
      </c>
      <c r="N19" s="216">
        <v>0</v>
      </c>
      <c r="O19" s="216">
        <v>0</v>
      </c>
      <c r="P19" s="215">
        <v>0</v>
      </c>
      <c r="Q19" s="216">
        <v>0</v>
      </c>
      <c r="R19" s="216">
        <v>0</v>
      </c>
      <c r="S19" s="215">
        <v>0</v>
      </c>
      <c r="T19" s="216">
        <v>0</v>
      </c>
      <c r="U19" s="216">
        <v>0</v>
      </c>
      <c r="V19" s="215">
        <v>38180</v>
      </c>
      <c r="W19" s="216">
        <v>38180</v>
      </c>
      <c r="X19" s="216">
        <v>0</v>
      </c>
      <c r="Y19" s="218">
        <v>-4959</v>
      </c>
      <c r="Z19" s="213">
        <v>-4959</v>
      </c>
      <c r="AA19" s="213">
        <v>-4959</v>
      </c>
      <c r="AB19" s="213">
        <v>-4959</v>
      </c>
      <c r="AC19" s="213">
        <v>-4959</v>
      </c>
      <c r="AD19" s="214">
        <v>-13385</v>
      </c>
      <c r="AE19" s="218">
        <v>-4959</v>
      </c>
      <c r="AF19" s="213">
        <v>-4959</v>
      </c>
      <c r="AG19" s="213">
        <v>-4959</v>
      </c>
      <c r="AH19" s="213">
        <v>-4959</v>
      </c>
      <c r="AI19" s="213">
        <v>-4959</v>
      </c>
      <c r="AJ19" s="214">
        <v>-13385</v>
      </c>
      <c r="AK19" s="218">
        <v>0</v>
      </c>
      <c r="AL19" s="213">
        <v>0</v>
      </c>
      <c r="AM19" s="213">
        <v>0</v>
      </c>
      <c r="AN19" s="213">
        <v>0</v>
      </c>
      <c r="AO19" s="213">
        <v>0</v>
      </c>
      <c r="AP19" s="214">
        <v>0</v>
      </c>
      <c r="AQ19" s="215">
        <v>16843</v>
      </c>
      <c r="AR19" s="216">
        <v>16843</v>
      </c>
      <c r="AS19" s="217">
        <v>0</v>
      </c>
      <c r="AT19" s="228">
        <v>529866</v>
      </c>
      <c r="AU19" s="229">
        <v>402601</v>
      </c>
      <c r="AV19" s="229">
        <v>459987</v>
      </c>
      <c r="AW19" s="230">
        <v>459987</v>
      </c>
      <c r="AX19" s="228">
        <v>529866</v>
      </c>
      <c r="AY19" s="229">
        <v>402601</v>
      </c>
      <c r="AZ19" s="229">
        <v>459987</v>
      </c>
      <c r="BA19" s="230">
        <v>459987</v>
      </c>
      <c r="BB19" s="228">
        <v>0</v>
      </c>
      <c r="BC19" s="229">
        <v>0</v>
      </c>
      <c r="BD19" s="229">
        <v>0</v>
      </c>
      <c r="BE19" s="230">
        <v>0</v>
      </c>
      <c r="BF19" s="215">
        <v>492703</v>
      </c>
      <c r="BG19" s="216">
        <v>492703</v>
      </c>
      <c r="BH19" s="217">
        <v>0</v>
      </c>
      <c r="BI19" s="196">
        <f t="shared" si="0"/>
        <v>0</v>
      </c>
    </row>
    <row r="20" spans="2:61">
      <c r="B20" s="195" t="s">
        <v>448</v>
      </c>
      <c r="C20" s="207">
        <v>1458216</v>
      </c>
      <c r="D20" s="208">
        <v>1458216</v>
      </c>
      <c r="E20" s="209">
        <v>1</v>
      </c>
      <c r="F20" s="209">
        <v>0</v>
      </c>
      <c r="G20" s="215">
        <v>1458216</v>
      </c>
      <c r="H20" s="216">
        <v>1458216</v>
      </c>
      <c r="I20" s="217">
        <v>0</v>
      </c>
      <c r="J20" s="215">
        <v>85094</v>
      </c>
      <c r="K20" s="216">
        <v>85094</v>
      </c>
      <c r="L20" s="216">
        <v>0</v>
      </c>
      <c r="M20" s="215">
        <v>0</v>
      </c>
      <c r="N20" s="216">
        <v>0</v>
      </c>
      <c r="O20" s="216">
        <v>0</v>
      </c>
      <c r="P20" s="215">
        <v>0</v>
      </c>
      <c r="Q20" s="216">
        <v>0</v>
      </c>
      <c r="R20" s="216">
        <v>0</v>
      </c>
      <c r="S20" s="215">
        <v>0</v>
      </c>
      <c r="T20" s="216">
        <v>0</v>
      </c>
      <c r="U20" s="216">
        <v>0</v>
      </c>
      <c r="V20" s="215">
        <v>161363</v>
      </c>
      <c r="W20" s="216">
        <v>161363</v>
      </c>
      <c r="X20" s="216">
        <v>0</v>
      </c>
      <c r="Y20" s="218">
        <v>-15820</v>
      </c>
      <c r="Z20" s="213">
        <v>-15820</v>
      </c>
      <c r="AA20" s="213">
        <v>-15820</v>
      </c>
      <c r="AB20" s="213">
        <v>-15820</v>
      </c>
      <c r="AC20" s="213">
        <v>-15820</v>
      </c>
      <c r="AD20" s="214">
        <v>-82263</v>
      </c>
      <c r="AE20" s="218">
        <v>-15820</v>
      </c>
      <c r="AF20" s="213">
        <v>-15820</v>
      </c>
      <c r="AG20" s="213">
        <v>-15820</v>
      </c>
      <c r="AH20" s="213">
        <v>-15820</v>
      </c>
      <c r="AI20" s="213">
        <v>-15820</v>
      </c>
      <c r="AJ20" s="214">
        <v>-82263</v>
      </c>
      <c r="AK20" s="218">
        <v>0</v>
      </c>
      <c r="AL20" s="213">
        <v>0</v>
      </c>
      <c r="AM20" s="213">
        <v>0</v>
      </c>
      <c r="AN20" s="213">
        <v>0</v>
      </c>
      <c r="AO20" s="213">
        <v>0</v>
      </c>
      <c r="AP20" s="214">
        <v>0</v>
      </c>
      <c r="AQ20" s="215">
        <v>3725</v>
      </c>
      <c r="AR20" s="216">
        <v>3725</v>
      </c>
      <c r="AS20" s="217">
        <v>0</v>
      </c>
      <c r="AT20" s="228">
        <v>1746088</v>
      </c>
      <c r="AU20" s="229">
        <v>1226301</v>
      </c>
      <c r="AV20" s="229">
        <v>1458216</v>
      </c>
      <c r="AW20" s="230">
        <v>1458216</v>
      </c>
      <c r="AX20" s="228">
        <v>1746088</v>
      </c>
      <c r="AY20" s="229">
        <v>1226301</v>
      </c>
      <c r="AZ20" s="229">
        <v>1458216</v>
      </c>
      <c r="BA20" s="230">
        <v>1458216</v>
      </c>
      <c r="BB20" s="228">
        <v>0</v>
      </c>
      <c r="BC20" s="229">
        <v>0</v>
      </c>
      <c r="BD20" s="229">
        <v>0</v>
      </c>
      <c r="BE20" s="230">
        <v>0</v>
      </c>
      <c r="BF20" s="215">
        <v>1534485</v>
      </c>
      <c r="BG20" s="216">
        <v>1534485</v>
      </c>
      <c r="BH20" s="217">
        <v>0</v>
      </c>
      <c r="BI20" s="196">
        <f t="shared" si="0"/>
        <v>0</v>
      </c>
    </row>
    <row r="21" spans="2:61">
      <c r="B21" s="195" t="s">
        <v>253</v>
      </c>
      <c r="C21" s="207">
        <v>205076</v>
      </c>
      <c r="D21" s="208">
        <v>205076</v>
      </c>
      <c r="E21" s="209">
        <v>1</v>
      </c>
      <c r="F21" s="209">
        <v>0</v>
      </c>
      <c r="G21" s="215">
        <v>205076</v>
      </c>
      <c r="H21" s="216">
        <v>205076</v>
      </c>
      <c r="I21" s="217">
        <v>0</v>
      </c>
      <c r="J21" s="215">
        <v>7933</v>
      </c>
      <c r="K21" s="216">
        <v>7933</v>
      </c>
      <c r="L21" s="216">
        <v>0</v>
      </c>
      <c r="M21" s="215">
        <v>0</v>
      </c>
      <c r="N21" s="216">
        <v>0</v>
      </c>
      <c r="O21" s="216">
        <v>0</v>
      </c>
      <c r="P21" s="215">
        <v>0</v>
      </c>
      <c r="Q21" s="216">
        <v>0</v>
      </c>
      <c r="R21" s="216">
        <v>0</v>
      </c>
      <c r="S21" s="215">
        <v>0</v>
      </c>
      <c r="T21" s="216">
        <v>0</v>
      </c>
      <c r="U21" s="216">
        <v>0</v>
      </c>
      <c r="V21" s="215">
        <v>15270</v>
      </c>
      <c r="W21" s="216">
        <v>15270</v>
      </c>
      <c r="X21" s="216">
        <v>0</v>
      </c>
      <c r="Y21" s="218">
        <v>-2009</v>
      </c>
      <c r="Z21" s="213">
        <v>-2009</v>
      </c>
      <c r="AA21" s="213">
        <v>-2009</v>
      </c>
      <c r="AB21" s="213">
        <v>-2009</v>
      </c>
      <c r="AC21" s="213">
        <v>-2009</v>
      </c>
      <c r="AD21" s="214">
        <v>-5225</v>
      </c>
      <c r="AE21" s="218">
        <v>-2009</v>
      </c>
      <c r="AF21" s="213">
        <v>-2009</v>
      </c>
      <c r="AG21" s="213">
        <v>-2009</v>
      </c>
      <c r="AH21" s="213">
        <v>-2009</v>
      </c>
      <c r="AI21" s="213">
        <v>-2009</v>
      </c>
      <c r="AJ21" s="214">
        <v>-5225</v>
      </c>
      <c r="AK21" s="218">
        <v>0</v>
      </c>
      <c r="AL21" s="213">
        <v>0</v>
      </c>
      <c r="AM21" s="213">
        <v>0</v>
      </c>
      <c r="AN21" s="213">
        <v>0</v>
      </c>
      <c r="AO21" s="213">
        <v>0</v>
      </c>
      <c r="AP21" s="214">
        <v>0</v>
      </c>
      <c r="AQ21" s="215">
        <v>10957</v>
      </c>
      <c r="AR21" s="216">
        <v>10957</v>
      </c>
      <c r="AS21" s="217">
        <v>0</v>
      </c>
      <c r="AT21" s="228">
        <v>233043</v>
      </c>
      <c r="AU21" s="229">
        <v>182053</v>
      </c>
      <c r="AV21" s="229">
        <v>205076</v>
      </c>
      <c r="AW21" s="230">
        <v>205076</v>
      </c>
      <c r="AX21" s="228">
        <v>233043</v>
      </c>
      <c r="AY21" s="229">
        <v>182053</v>
      </c>
      <c r="AZ21" s="229">
        <v>205076</v>
      </c>
      <c r="BA21" s="230">
        <v>205076</v>
      </c>
      <c r="BB21" s="228">
        <v>0</v>
      </c>
      <c r="BC21" s="229">
        <v>0</v>
      </c>
      <c r="BD21" s="229">
        <v>0</v>
      </c>
      <c r="BE21" s="230">
        <v>0</v>
      </c>
      <c r="BF21" s="215">
        <v>223213</v>
      </c>
      <c r="BG21" s="216">
        <v>223213</v>
      </c>
      <c r="BH21" s="217">
        <v>0</v>
      </c>
      <c r="BI21" s="196">
        <f t="shared" si="0"/>
        <v>0</v>
      </c>
    </row>
    <row r="22" spans="2:61">
      <c r="B22" s="195" t="s">
        <v>254</v>
      </c>
      <c r="C22" s="207">
        <v>2300585</v>
      </c>
      <c r="D22" s="208">
        <v>2300585</v>
      </c>
      <c r="E22" s="209">
        <v>1</v>
      </c>
      <c r="F22" s="209">
        <v>0</v>
      </c>
      <c r="G22" s="215">
        <v>2300585</v>
      </c>
      <c r="H22" s="216">
        <v>2300585</v>
      </c>
      <c r="I22" s="217">
        <v>0</v>
      </c>
      <c r="J22" s="215">
        <v>101755</v>
      </c>
      <c r="K22" s="216">
        <v>101755</v>
      </c>
      <c r="L22" s="216">
        <v>0</v>
      </c>
      <c r="M22" s="215">
        <v>0</v>
      </c>
      <c r="N22" s="216">
        <v>0</v>
      </c>
      <c r="O22" s="216">
        <v>0</v>
      </c>
      <c r="P22" s="215">
        <v>0</v>
      </c>
      <c r="Q22" s="216">
        <v>0</v>
      </c>
      <c r="R22" s="216">
        <v>0</v>
      </c>
      <c r="S22" s="215">
        <v>0</v>
      </c>
      <c r="T22" s="216">
        <v>0</v>
      </c>
      <c r="U22" s="216">
        <v>0</v>
      </c>
      <c r="V22" s="215">
        <v>189728</v>
      </c>
      <c r="W22" s="216">
        <v>189728</v>
      </c>
      <c r="X22" s="216">
        <v>0</v>
      </c>
      <c r="Y22" s="218">
        <v>-21808</v>
      </c>
      <c r="Z22" s="213">
        <v>-21808</v>
      </c>
      <c r="AA22" s="213">
        <v>-21808</v>
      </c>
      <c r="AB22" s="213">
        <v>-21808</v>
      </c>
      <c r="AC22" s="213">
        <v>-21808</v>
      </c>
      <c r="AD22" s="214">
        <v>-80688</v>
      </c>
      <c r="AE22" s="218">
        <v>-21808</v>
      </c>
      <c r="AF22" s="213">
        <v>-21808</v>
      </c>
      <c r="AG22" s="213">
        <v>-21808</v>
      </c>
      <c r="AH22" s="213">
        <v>-21808</v>
      </c>
      <c r="AI22" s="213">
        <v>-21808</v>
      </c>
      <c r="AJ22" s="214">
        <v>-80688</v>
      </c>
      <c r="AK22" s="218">
        <v>0</v>
      </c>
      <c r="AL22" s="213">
        <v>0</v>
      </c>
      <c r="AM22" s="213">
        <v>0</v>
      </c>
      <c r="AN22" s="213">
        <v>0</v>
      </c>
      <c r="AO22" s="213">
        <v>0</v>
      </c>
      <c r="AP22" s="214">
        <v>0</v>
      </c>
      <c r="AQ22" s="215">
        <v>99572</v>
      </c>
      <c r="AR22" s="216">
        <v>99572</v>
      </c>
      <c r="AS22" s="217">
        <v>0</v>
      </c>
      <c r="AT22" s="228">
        <v>2643992</v>
      </c>
      <c r="AU22" s="229">
        <v>2019087</v>
      </c>
      <c r="AV22" s="229">
        <v>2300585</v>
      </c>
      <c r="AW22" s="230">
        <v>2300585</v>
      </c>
      <c r="AX22" s="228">
        <v>2643992</v>
      </c>
      <c r="AY22" s="229">
        <v>2019087</v>
      </c>
      <c r="AZ22" s="229">
        <v>2300585</v>
      </c>
      <c r="BA22" s="230">
        <v>2300585</v>
      </c>
      <c r="BB22" s="228">
        <v>0</v>
      </c>
      <c r="BC22" s="229">
        <v>0</v>
      </c>
      <c r="BD22" s="229">
        <v>0</v>
      </c>
      <c r="BE22" s="230">
        <v>0</v>
      </c>
      <c r="BF22" s="215">
        <v>2486958</v>
      </c>
      <c r="BG22" s="216">
        <v>2486958</v>
      </c>
      <c r="BH22" s="217">
        <v>0</v>
      </c>
      <c r="BI22" s="196">
        <f t="shared" si="0"/>
        <v>0</v>
      </c>
    </row>
    <row r="23" spans="2:61">
      <c r="B23" s="195" t="s">
        <v>255</v>
      </c>
      <c r="C23" s="207">
        <v>1152243</v>
      </c>
      <c r="D23" s="208">
        <v>1152243</v>
      </c>
      <c r="E23" s="209">
        <v>1</v>
      </c>
      <c r="F23" s="209">
        <v>0</v>
      </c>
      <c r="G23" s="215">
        <v>1152243</v>
      </c>
      <c r="H23" s="216">
        <v>1152243</v>
      </c>
      <c r="I23" s="217">
        <v>0</v>
      </c>
      <c r="J23" s="215">
        <v>46177</v>
      </c>
      <c r="K23" s="216">
        <v>46177</v>
      </c>
      <c r="L23" s="216">
        <v>0</v>
      </c>
      <c r="M23" s="215">
        <v>0</v>
      </c>
      <c r="N23" s="216">
        <v>0</v>
      </c>
      <c r="O23" s="216">
        <v>0</v>
      </c>
      <c r="P23" s="215">
        <v>0</v>
      </c>
      <c r="Q23" s="216">
        <v>0</v>
      </c>
      <c r="R23" s="216">
        <v>0</v>
      </c>
      <c r="S23" s="215">
        <v>0</v>
      </c>
      <c r="T23" s="216">
        <v>0</v>
      </c>
      <c r="U23" s="216">
        <v>0</v>
      </c>
      <c r="V23" s="215">
        <v>92563</v>
      </c>
      <c r="W23" s="216">
        <v>92563</v>
      </c>
      <c r="X23" s="216">
        <v>0</v>
      </c>
      <c r="Y23" s="218">
        <v>-10763</v>
      </c>
      <c r="Z23" s="213">
        <v>-10763</v>
      </c>
      <c r="AA23" s="213">
        <v>-10763</v>
      </c>
      <c r="AB23" s="213">
        <v>-10763</v>
      </c>
      <c r="AC23" s="213">
        <v>-10763</v>
      </c>
      <c r="AD23" s="214">
        <v>-38748</v>
      </c>
      <c r="AE23" s="218">
        <v>-10763</v>
      </c>
      <c r="AF23" s="213">
        <v>-10763</v>
      </c>
      <c r="AG23" s="213">
        <v>-10763</v>
      </c>
      <c r="AH23" s="213">
        <v>-10763</v>
      </c>
      <c r="AI23" s="213">
        <v>-10763</v>
      </c>
      <c r="AJ23" s="214">
        <v>-38748</v>
      </c>
      <c r="AK23" s="218">
        <v>0</v>
      </c>
      <c r="AL23" s="213">
        <v>0</v>
      </c>
      <c r="AM23" s="213">
        <v>0</v>
      </c>
      <c r="AN23" s="213">
        <v>0</v>
      </c>
      <c r="AO23" s="213">
        <v>0</v>
      </c>
      <c r="AP23" s="214">
        <v>0</v>
      </c>
      <c r="AQ23" s="215">
        <v>51792</v>
      </c>
      <c r="AR23" s="216">
        <v>51792</v>
      </c>
      <c r="AS23" s="217">
        <v>0</v>
      </c>
      <c r="AT23" s="228">
        <v>1319847</v>
      </c>
      <c r="AU23" s="229">
        <v>1014252</v>
      </c>
      <c r="AV23" s="229">
        <v>1152243</v>
      </c>
      <c r="AW23" s="230">
        <v>1152243</v>
      </c>
      <c r="AX23" s="228">
        <v>1319847</v>
      </c>
      <c r="AY23" s="229">
        <v>1014252</v>
      </c>
      <c r="AZ23" s="229">
        <v>1152243</v>
      </c>
      <c r="BA23" s="230">
        <v>1152243</v>
      </c>
      <c r="BB23" s="228">
        <v>0</v>
      </c>
      <c r="BC23" s="229">
        <v>0</v>
      </c>
      <c r="BD23" s="229">
        <v>0</v>
      </c>
      <c r="BE23" s="230">
        <v>0</v>
      </c>
      <c r="BF23" s="215">
        <v>1248279</v>
      </c>
      <c r="BG23" s="216">
        <v>1248279</v>
      </c>
      <c r="BH23" s="217">
        <v>0</v>
      </c>
      <c r="BI23" s="196">
        <f t="shared" si="0"/>
        <v>0</v>
      </c>
    </row>
    <row r="24" spans="2:61">
      <c r="B24" s="195" t="s">
        <v>256</v>
      </c>
      <c r="C24" s="207">
        <v>1874198</v>
      </c>
      <c r="D24" s="208">
        <v>1874198</v>
      </c>
      <c r="E24" s="209">
        <v>1</v>
      </c>
      <c r="F24" s="209">
        <v>0</v>
      </c>
      <c r="G24" s="215">
        <v>1874198</v>
      </c>
      <c r="H24" s="216">
        <v>1874198</v>
      </c>
      <c r="I24" s="217">
        <v>0</v>
      </c>
      <c r="J24" s="215">
        <v>71987</v>
      </c>
      <c r="K24" s="216">
        <v>71987</v>
      </c>
      <c r="L24" s="216">
        <v>0</v>
      </c>
      <c r="M24" s="215">
        <v>0</v>
      </c>
      <c r="N24" s="216">
        <v>0</v>
      </c>
      <c r="O24" s="216">
        <v>0</v>
      </c>
      <c r="P24" s="215">
        <v>0</v>
      </c>
      <c r="Q24" s="216">
        <v>0</v>
      </c>
      <c r="R24" s="216">
        <v>0</v>
      </c>
      <c r="S24" s="215">
        <v>0</v>
      </c>
      <c r="T24" s="216">
        <v>0</v>
      </c>
      <c r="U24" s="216">
        <v>0</v>
      </c>
      <c r="V24" s="215">
        <v>140359</v>
      </c>
      <c r="W24" s="216">
        <v>140359</v>
      </c>
      <c r="X24" s="216">
        <v>0</v>
      </c>
      <c r="Y24" s="218">
        <v>-20342</v>
      </c>
      <c r="Z24" s="213">
        <v>-20342</v>
      </c>
      <c r="AA24" s="213">
        <v>-20342</v>
      </c>
      <c r="AB24" s="213">
        <v>-20342</v>
      </c>
      <c r="AC24" s="213">
        <v>-20342</v>
      </c>
      <c r="AD24" s="214">
        <v>-38649</v>
      </c>
      <c r="AE24" s="218">
        <v>-20342</v>
      </c>
      <c r="AF24" s="213">
        <v>-20342</v>
      </c>
      <c r="AG24" s="213">
        <v>-20342</v>
      </c>
      <c r="AH24" s="213">
        <v>-20342</v>
      </c>
      <c r="AI24" s="213">
        <v>-20342</v>
      </c>
      <c r="AJ24" s="214">
        <v>-38649</v>
      </c>
      <c r="AK24" s="218">
        <v>0</v>
      </c>
      <c r="AL24" s="213">
        <v>0</v>
      </c>
      <c r="AM24" s="213">
        <v>0</v>
      </c>
      <c r="AN24" s="213">
        <v>0</v>
      </c>
      <c r="AO24" s="213">
        <v>0</v>
      </c>
      <c r="AP24" s="214">
        <v>0</v>
      </c>
      <c r="AQ24" s="215">
        <v>81812</v>
      </c>
      <c r="AR24" s="216">
        <v>81812</v>
      </c>
      <c r="AS24" s="217">
        <v>0</v>
      </c>
      <c r="AT24" s="228">
        <v>2134313</v>
      </c>
      <c r="AU24" s="229">
        <v>1658395</v>
      </c>
      <c r="AV24" s="229">
        <v>1874198</v>
      </c>
      <c r="AW24" s="230">
        <v>1874198</v>
      </c>
      <c r="AX24" s="228">
        <v>2134313</v>
      </c>
      <c r="AY24" s="229">
        <v>1658395</v>
      </c>
      <c r="AZ24" s="229">
        <v>1874198</v>
      </c>
      <c r="BA24" s="230">
        <v>1874198</v>
      </c>
      <c r="BB24" s="228">
        <v>0</v>
      </c>
      <c r="BC24" s="229">
        <v>0</v>
      </c>
      <c r="BD24" s="229">
        <v>0</v>
      </c>
      <c r="BE24" s="230">
        <v>0</v>
      </c>
      <c r="BF24" s="215">
        <v>2024170</v>
      </c>
      <c r="BG24" s="216">
        <v>2024170</v>
      </c>
      <c r="BH24" s="217">
        <v>0</v>
      </c>
      <c r="BI24" s="196">
        <f t="shared" si="0"/>
        <v>0</v>
      </c>
    </row>
    <row r="25" spans="2:61">
      <c r="B25" s="195" t="s">
        <v>257</v>
      </c>
      <c r="C25" s="207">
        <v>437264</v>
      </c>
      <c r="D25" s="208">
        <v>437264</v>
      </c>
      <c r="E25" s="209">
        <v>1</v>
      </c>
      <c r="F25" s="209">
        <v>0</v>
      </c>
      <c r="G25" s="215">
        <v>437264</v>
      </c>
      <c r="H25" s="216">
        <v>437264</v>
      </c>
      <c r="I25" s="217">
        <v>0</v>
      </c>
      <c r="J25" s="215">
        <v>21346</v>
      </c>
      <c r="K25" s="216">
        <v>21346</v>
      </c>
      <c r="L25" s="216">
        <v>0</v>
      </c>
      <c r="M25" s="215">
        <v>0</v>
      </c>
      <c r="N25" s="216">
        <v>0</v>
      </c>
      <c r="O25" s="216">
        <v>0</v>
      </c>
      <c r="P25" s="215">
        <v>0</v>
      </c>
      <c r="Q25" s="216">
        <v>0</v>
      </c>
      <c r="R25" s="216">
        <v>0</v>
      </c>
      <c r="S25" s="215">
        <v>0</v>
      </c>
      <c r="T25" s="216">
        <v>0</v>
      </c>
      <c r="U25" s="216">
        <v>0</v>
      </c>
      <c r="V25" s="215">
        <v>36079</v>
      </c>
      <c r="W25" s="216">
        <v>36079</v>
      </c>
      <c r="X25" s="216">
        <v>0</v>
      </c>
      <c r="Y25" s="218">
        <v>-4625</v>
      </c>
      <c r="Z25" s="213">
        <v>-4625</v>
      </c>
      <c r="AA25" s="213">
        <v>-4625</v>
      </c>
      <c r="AB25" s="213">
        <v>-4625</v>
      </c>
      <c r="AC25" s="213">
        <v>-4625</v>
      </c>
      <c r="AD25" s="214">
        <v>-12954</v>
      </c>
      <c r="AE25" s="218">
        <v>-4625</v>
      </c>
      <c r="AF25" s="213">
        <v>-4625</v>
      </c>
      <c r="AG25" s="213">
        <v>-4625</v>
      </c>
      <c r="AH25" s="213">
        <v>-4625</v>
      </c>
      <c r="AI25" s="213">
        <v>-4625</v>
      </c>
      <c r="AJ25" s="214">
        <v>-12954</v>
      </c>
      <c r="AK25" s="218">
        <v>0</v>
      </c>
      <c r="AL25" s="213">
        <v>0</v>
      </c>
      <c r="AM25" s="213">
        <v>0</v>
      </c>
      <c r="AN25" s="213">
        <v>0</v>
      </c>
      <c r="AO25" s="213">
        <v>0</v>
      </c>
      <c r="AP25" s="214">
        <v>0</v>
      </c>
      <c r="AQ25" s="215">
        <v>16637</v>
      </c>
      <c r="AR25" s="216">
        <v>16637</v>
      </c>
      <c r="AS25" s="217">
        <v>0</v>
      </c>
      <c r="AT25" s="228">
        <v>503137</v>
      </c>
      <c r="AU25" s="229">
        <v>383133</v>
      </c>
      <c r="AV25" s="229">
        <v>437264</v>
      </c>
      <c r="AW25" s="230">
        <v>437264</v>
      </c>
      <c r="AX25" s="228">
        <v>503137</v>
      </c>
      <c r="AY25" s="229">
        <v>383133</v>
      </c>
      <c r="AZ25" s="229">
        <v>437264</v>
      </c>
      <c r="BA25" s="230">
        <v>437264</v>
      </c>
      <c r="BB25" s="228">
        <v>0</v>
      </c>
      <c r="BC25" s="229">
        <v>0</v>
      </c>
      <c r="BD25" s="229">
        <v>0</v>
      </c>
      <c r="BE25" s="230">
        <v>0</v>
      </c>
      <c r="BF25" s="215">
        <v>468497</v>
      </c>
      <c r="BG25" s="216">
        <v>468497</v>
      </c>
      <c r="BH25" s="217">
        <v>0</v>
      </c>
      <c r="BI25" s="196">
        <f t="shared" si="0"/>
        <v>0</v>
      </c>
    </row>
    <row r="26" spans="2:61">
      <c r="B26" s="195" t="s">
        <v>258</v>
      </c>
      <c r="C26" s="207">
        <v>48366</v>
      </c>
      <c r="D26" s="208">
        <v>48366</v>
      </c>
      <c r="E26" s="209">
        <v>1</v>
      </c>
      <c r="F26" s="209">
        <v>0</v>
      </c>
      <c r="G26" s="215">
        <v>48366</v>
      </c>
      <c r="H26" s="216">
        <v>48366</v>
      </c>
      <c r="I26" s="217">
        <v>0</v>
      </c>
      <c r="J26" s="215">
        <v>2434</v>
      </c>
      <c r="K26" s="216">
        <v>2434</v>
      </c>
      <c r="L26" s="216">
        <v>0</v>
      </c>
      <c r="M26" s="215">
        <v>0</v>
      </c>
      <c r="N26" s="216">
        <v>0</v>
      </c>
      <c r="O26" s="216">
        <v>0</v>
      </c>
      <c r="P26" s="215">
        <v>0</v>
      </c>
      <c r="Q26" s="216">
        <v>0</v>
      </c>
      <c r="R26" s="216">
        <v>0</v>
      </c>
      <c r="S26" s="215">
        <v>0</v>
      </c>
      <c r="T26" s="216">
        <v>0</v>
      </c>
      <c r="U26" s="216">
        <v>0</v>
      </c>
      <c r="V26" s="215">
        <v>3776</v>
      </c>
      <c r="W26" s="216">
        <v>3776</v>
      </c>
      <c r="X26" s="216">
        <v>0</v>
      </c>
      <c r="Y26" s="218">
        <v>-504</v>
      </c>
      <c r="Z26" s="213">
        <v>-504</v>
      </c>
      <c r="AA26" s="213">
        <v>-504</v>
      </c>
      <c r="AB26" s="213">
        <v>-504</v>
      </c>
      <c r="AC26" s="213">
        <v>-504</v>
      </c>
      <c r="AD26" s="214">
        <v>-1256</v>
      </c>
      <c r="AE26" s="218">
        <v>-504</v>
      </c>
      <c r="AF26" s="213">
        <v>-504</v>
      </c>
      <c r="AG26" s="213">
        <v>-504</v>
      </c>
      <c r="AH26" s="213">
        <v>-504</v>
      </c>
      <c r="AI26" s="213">
        <v>-504</v>
      </c>
      <c r="AJ26" s="214">
        <v>-1256</v>
      </c>
      <c r="AK26" s="218">
        <v>0</v>
      </c>
      <c r="AL26" s="213">
        <v>0</v>
      </c>
      <c r="AM26" s="213">
        <v>0</v>
      </c>
      <c r="AN26" s="213">
        <v>0</v>
      </c>
      <c r="AO26" s="213">
        <v>0</v>
      </c>
      <c r="AP26" s="214">
        <v>0</v>
      </c>
      <c r="AQ26" s="215">
        <v>2005</v>
      </c>
      <c r="AR26" s="216">
        <v>2005</v>
      </c>
      <c r="AS26" s="217">
        <v>0</v>
      </c>
      <c r="AT26" s="228">
        <v>55303</v>
      </c>
      <c r="AU26" s="229">
        <v>42605</v>
      </c>
      <c r="AV26" s="229">
        <v>48366</v>
      </c>
      <c r="AW26" s="230">
        <v>48366</v>
      </c>
      <c r="AX26" s="228">
        <v>55303</v>
      </c>
      <c r="AY26" s="229">
        <v>42605</v>
      </c>
      <c r="AZ26" s="229">
        <v>48366</v>
      </c>
      <c r="BA26" s="230">
        <v>48366</v>
      </c>
      <c r="BB26" s="228">
        <v>0</v>
      </c>
      <c r="BC26" s="229">
        <v>0</v>
      </c>
      <c r="BD26" s="229">
        <v>0</v>
      </c>
      <c r="BE26" s="230">
        <v>0</v>
      </c>
      <c r="BF26" s="215">
        <v>51808</v>
      </c>
      <c r="BG26" s="216">
        <v>51808</v>
      </c>
      <c r="BH26" s="217">
        <v>0</v>
      </c>
      <c r="BI26" s="196">
        <f t="shared" si="0"/>
        <v>0</v>
      </c>
    </row>
    <row r="27" spans="2:61">
      <c r="B27" s="195" t="s">
        <v>259</v>
      </c>
      <c r="C27" s="207">
        <v>23104457</v>
      </c>
      <c r="D27" s="208">
        <v>2341680</v>
      </c>
      <c r="E27" s="209">
        <v>0.101352</v>
      </c>
      <c r="F27" s="209">
        <v>0.898648</v>
      </c>
      <c r="G27" s="215">
        <v>23104457</v>
      </c>
      <c r="H27" s="216">
        <v>2341683</v>
      </c>
      <c r="I27" s="217">
        <v>20762774</v>
      </c>
      <c r="J27" s="215">
        <v>2218463</v>
      </c>
      <c r="K27" s="216">
        <v>224846</v>
      </c>
      <c r="L27" s="216">
        <v>1993617</v>
      </c>
      <c r="M27" s="215">
        <v>0</v>
      </c>
      <c r="N27" s="216">
        <v>0</v>
      </c>
      <c r="O27" s="216">
        <v>0</v>
      </c>
      <c r="P27" s="215">
        <v>0</v>
      </c>
      <c r="Q27" s="216">
        <v>0</v>
      </c>
      <c r="R27" s="216">
        <v>0</v>
      </c>
      <c r="S27" s="215">
        <v>0</v>
      </c>
      <c r="T27" s="216">
        <v>0</v>
      </c>
      <c r="U27" s="216">
        <v>0</v>
      </c>
      <c r="V27" s="215">
        <v>2421340</v>
      </c>
      <c r="W27" s="216">
        <v>245408</v>
      </c>
      <c r="X27" s="216">
        <v>2175932</v>
      </c>
      <c r="Y27" s="218">
        <v>-322845</v>
      </c>
      <c r="Z27" s="213">
        <v>-322845</v>
      </c>
      <c r="AA27" s="213">
        <v>-322845</v>
      </c>
      <c r="AB27" s="213">
        <v>-322845</v>
      </c>
      <c r="AC27" s="213">
        <v>-322845</v>
      </c>
      <c r="AD27" s="214">
        <v>-807115</v>
      </c>
      <c r="AE27" s="218">
        <v>-32720.986440000001</v>
      </c>
      <c r="AF27" s="213">
        <v>-32720.986440000001</v>
      </c>
      <c r="AG27" s="213">
        <v>-32720.986440000001</v>
      </c>
      <c r="AH27" s="213">
        <v>-32720.986440000001</v>
      </c>
      <c r="AI27" s="213">
        <v>-32720.986440000001</v>
      </c>
      <c r="AJ27" s="214">
        <v>-81802.71948</v>
      </c>
      <c r="AK27" s="218">
        <v>-290124.01355999999</v>
      </c>
      <c r="AL27" s="213">
        <v>-290124.01355999999</v>
      </c>
      <c r="AM27" s="213">
        <v>-290124.01355999999</v>
      </c>
      <c r="AN27" s="213">
        <v>-290124.01355999999</v>
      </c>
      <c r="AO27" s="213">
        <v>-290124.01355999999</v>
      </c>
      <c r="AP27" s="214">
        <v>-725312.28052000003</v>
      </c>
      <c r="AQ27" s="215">
        <v>242201</v>
      </c>
      <c r="AR27" s="216">
        <v>76943</v>
      </c>
      <c r="AS27" s="217">
        <v>165258</v>
      </c>
      <c r="AT27" s="228">
        <v>27540114</v>
      </c>
      <c r="AU27" s="229">
        <v>19437868</v>
      </c>
      <c r="AV27" s="229">
        <v>18554135</v>
      </c>
      <c r="AW27" s="230">
        <v>29173315</v>
      </c>
      <c r="AX27" s="228">
        <v>2693748</v>
      </c>
      <c r="AY27" s="229">
        <v>2049445</v>
      </c>
      <c r="AZ27" s="229">
        <v>2341680</v>
      </c>
      <c r="BA27" s="230">
        <v>2341680</v>
      </c>
      <c r="BB27" s="228">
        <v>24748868.365871999</v>
      </c>
      <c r="BC27" s="229">
        <v>17467801.202463999</v>
      </c>
      <c r="BD27" s="229">
        <v>16673636.30948</v>
      </c>
      <c r="BE27" s="230">
        <v>26216541.178119998</v>
      </c>
      <c r="BF27" s="215">
        <v>23526398</v>
      </c>
      <c r="BG27" s="216">
        <v>2384447</v>
      </c>
      <c r="BH27" s="217">
        <v>21141951</v>
      </c>
      <c r="BI27" s="196">
        <f t="shared" si="0"/>
        <v>-379177</v>
      </c>
    </row>
    <row r="28" spans="2:61">
      <c r="B28" s="195" t="s">
        <v>260</v>
      </c>
      <c r="C28" s="207">
        <v>1012688</v>
      </c>
      <c r="D28" s="208">
        <v>1012688</v>
      </c>
      <c r="E28" s="209">
        <v>1</v>
      </c>
      <c r="F28" s="209">
        <v>0</v>
      </c>
      <c r="G28" s="215">
        <v>1012688</v>
      </c>
      <c r="H28" s="216">
        <v>1012688</v>
      </c>
      <c r="I28" s="217">
        <v>0</v>
      </c>
      <c r="J28" s="215">
        <v>52338</v>
      </c>
      <c r="K28" s="216">
        <v>52338</v>
      </c>
      <c r="L28" s="216">
        <v>0</v>
      </c>
      <c r="M28" s="215">
        <v>0</v>
      </c>
      <c r="N28" s="216">
        <v>0</v>
      </c>
      <c r="O28" s="216">
        <v>0</v>
      </c>
      <c r="P28" s="215">
        <v>0</v>
      </c>
      <c r="Q28" s="216">
        <v>0</v>
      </c>
      <c r="R28" s="216">
        <v>0</v>
      </c>
      <c r="S28" s="215">
        <v>0</v>
      </c>
      <c r="T28" s="216">
        <v>0</v>
      </c>
      <c r="U28" s="216">
        <v>0</v>
      </c>
      <c r="V28" s="215">
        <v>95058</v>
      </c>
      <c r="W28" s="216">
        <v>95058</v>
      </c>
      <c r="X28" s="216">
        <v>0</v>
      </c>
      <c r="Y28" s="218">
        <v>-9412</v>
      </c>
      <c r="Z28" s="213">
        <v>-9412</v>
      </c>
      <c r="AA28" s="213">
        <v>-9412</v>
      </c>
      <c r="AB28" s="213">
        <v>-9412</v>
      </c>
      <c r="AC28" s="213">
        <v>-9412</v>
      </c>
      <c r="AD28" s="214">
        <v>-47998</v>
      </c>
      <c r="AE28" s="218">
        <v>-9412</v>
      </c>
      <c r="AF28" s="213">
        <v>-9412</v>
      </c>
      <c r="AG28" s="213">
        <v>-9412</v>
      </c>
      <c r="AH28" s="213">
        <v>-9412</v>
      </c>
      <c r="AI28" s="213">
        <v>-9412</v>
      </c>
      <c r="AJ28" s="214">
        <v>-47998</v>
      </c>
      <c r="AK28" s="218">
        <v>0</v>
      </c>
      <c r="AL28" s="213">
        <v>0</v>
      </c>
      <c r="AM28" s="213">
        <v>0</v>
      </c>
      <c r="AN28" s="213">
        <v>0</v>
      </c>
      <c r="AO28" s="213">
        <v>0</v>
      </c>
      <c r="AP28" s="214">
        <v>0</v>
      </c>
      <c r="AQ28" s="215">
        <v>29923</v>
      </c>
      <c r="AR28" s="216">
        <v>29923</v>
      </c>
      <c r="AS28" s="217">
        <v>0</v>
      </c>
      <c r="AT28" s="228">
        <v>1182384</v>
      </c>
      <c r="AU28" s="229">
        <v>875139</v>
      </c>
      <c r="AV28" s="229">
        <v>1012688</v>
      </c>
      <c r="AW28" s="230">
        <v>1012688</v>
      </c>
      <c r="AX28" s="228">
        <v>1182384</v>
      </c>
      <c r="AY28" s="229">
        <v>875139</v>
      </c>
      <c r="AZ28" s="229">
        <v>1012688</v>
      </c>
      <c r="BA28" s="230">
        <v>1012688</v>
      </c>
      <c r="BB28" s="228">
        <v>0</v>
      </c>
      <c r="BC28" s="229">
        <v>0</v>
      </c>
      <c r="BD28" s="229">
        <v>0</v>
      </c>
      <c r="BE28" s="230">
        <v>0</v>
      </c>
      <c r="BF28" s="215">
        <v>1084508</v>
      </c>
      <c r="BG28" s="216">
        <v>1084508</v>
      </c>
      <c r="BH28" s="217">
        <v>0</v>
      </c>
      <c r="BI28" s="196">
        <f t="shared" si="0"/>
        <v>0</v>
      </c>
    </row>
    <row r="29" spans="2:61">
      <c r="B29" s="195" t="s">
        <v>261</v>
      </c>
      <c r="C29" s="207">
        <v>562883</v>
      </c>
      <c r="D29" s="208">
        <v>562883</v>
      </c>
      <c r="E29" s="209">
        <v>1</v>
      </c>
      <c r="F29" s="209">
        <v>0</v>
      </c>
      <c r="G29" s="215">
        <v>562883</v>
      </c>
      <c r="H29" s="216">
        <v>562883</v>
      </c>
      <c r="I29" s="217">
        <v>0</v>
      </c>
      <c r="J29" s="215">
        <v>26509</v>
      </c>
      <c r="K29" s="216">
        <v>26509</v>
      </c>
      <c r="L29" s="216">
        <v>0</v>
      </c>
      <c r="M29" s="215">
        <v>0</v>
      </c>
      <c r="N29" s="216">
        <v>0</v>
      </c>
      <c r="O29" s="216">
        <v>0</v>
      </c>
      <c r="P29" s="215">
        <v>0</v>
      </c>
      <c r="Q29" s="216">
        <v>0</v>
      </c>
      <c r="R29" s="216">
        <v>0</v>
      </c>
      <c r="S29" s="215">
        <v>0</v>
      </c>
      <c r="T29" s="216">
        <v>0</v>
      </c>
      <c r="U29" s="216">
        <v>0</v>
      </c>
      <c r="V29" s="215">
        <v>49549</v>
      </c>
      <c r="W29" s="216">
        <v>49549</v>
      </c>
      <c r="X29" s="216">
        <v>0</v>
      </c>
      <c r="Y29" s="218">
        <v>-5695</v>
      </c>
      <c r="Z29" s="213">
        <v>-5695</v>
      </c>
      <c r="AA29" s="213">
        <v>-5695</v>
      </c>
      <c r="AB29" s="213">
        <v>-5695</v>
      </c>
      <c r="AC29" s="213">
        <v>-5695</v>
      </c>
      <c r="AD29" s="214">
        <v>-21074</v>
      </c>
      <c r="AE29" s="218">
        <v>-5695</v>
      </c>
      <c r="AF29" s="213">
        <v>-5695</v>
      </c>
      <c r="AG29" s="213">
        <v>-5695</v>
      </c>
      <c r="AH29" s="213">
        <v>-5695</v>
      </c>
      <c r="AI29" s="213">
        <v>-5695</v>
      </c>
      <c r="AJ29" s="214">
        <v>-21074</v>
      </c>
      <c r="AK29" s="218">
        <v>0</v>
      </c>
      <c r="AL29" s="213">
        <v>0</v>
      </c>
      <c r="AM29" s="213">
        <v>0</v>
      </c>
      <c r="AN29" s="213">
        <v>0</v>
      </c>
      <c r="AO29" s="213">
        <v>0</v>
      </c>
      <c r="AP29" s="214">
        <v>0</v>
      </c>
      <c r="AQ29" s="215">
        <v>21334</v>
      </c>
      <c r="AR29" s="216">
        <v>21334</v>
      </c>
      <c r="AS29" s="217">
        <v>0</v>
      </c>
      <c r="AT29" s="228">
        <v>652927</v>
      </c>
      <c r="AU29" s="229">
        <v>489643</v>
      </c>
      <c r="AV29" s="229">
        <v>562883</v>
      </c>
      <c r="AW29" s="230">
        <v>562883</v>
      </c>
      <c r="AX29" s="228">
        <v>652927</v>
      </c>
      <c r="AY29" s="229">
        <v>489643</v>
      </c>
      <c r="AZ29" s="229">
        <v>562883</v>
      </c>
      <c r="BA29" s="230">
        <v>562883</v>
      </c>
      <c r="BB29" s="228">
        <v>0</v>
      </c>
      <c r="BC29" s="229">
        <v>0</v>
      </c>
      <c r="BD29" s="229">
        <v>0</v>
      </c>
      <c r="BE29" s="230">
        <v>0</v>
      </c>
      <c r="BF29" s="215">
        <v>606773</v>
      </c>
      <c r="BG29" s="216">
        <v>606773</v>
      </c>
      <c r="BH29" s="217">
        <v>0</v>
      </c>
      <c r="BI29" s="196">
        <f t="shared" si="0"/>
        <v>0</v>
      </c>
    </row>
    <row r="30" spans="2:61">
      <c r="B30" s="195" t="s">
        <v>262</v>
      </c>
      <c r="C30" s="207">
        <v>221785</v>
      </c>
      <c r="D30" s="208">
        <v>221785</v>
      </c>
      <c r="E30" s="209">
        <v>1</v>
      </c>
      <c r="F30" s="209">
        <v>0</v>
      </c>
      <c r="G30" s="215">
        <v>221785</v>
      </c>
      <c r="H30" s="216">
        <v>221785</v>
      </c>
      <c r="I30" s="217">
        <v>0</v>
      </c>
      <c r="J30" s="215">
        <v>8983</v>
      </c>
      <c r="K30" s="216">
        <v>8983</v>
      </c>
      <c r="L30" s="216">
        <v>0</v>
      </c>
      <c r="M30" s="215">
        <v>0</v>
      </c>
      <c r="N30" s="216">
        <v>0</v>
      </c>
      <c r="O30" s="216">
        <v>0</v>
      </c>
      <c r="P30" s="215">
        <v>0</v>
      </c>
      <c r="Q30" s="216">
        <v>0</v>
      </c>
      <c r="R30" s="216">
        <v>0</v>
      </c>
      <c r="S30" s="215">
        <v>0</v>
      </c>
      <c r="T30" s="216">
        <v>0</v>
      </c>
      <c r="U30" s="216">
        <v>0</v>
      </c>
      <c r="V30" s="215">
        <v>16931</v>
      </c>
      <c r="W30" s="216">
        <v>16931</v>
      </c>
      <c r="X30" s="216">
        <v>0</v>
      </c>
      <c r="Y30" s="218">
        <v>-2116</v>
      </c>
      <c r="Z30" s="213">
        <v>-2116</v>
      </c>
      <c r="AA30" s="213">
        <v>-2116</v>
      </c>
      <c r="AB30" s="213">
        <v>-2116</v>
      </c>
      <c r="AC30" s="213">
        <v>-2116</v>
      </c>
      <c r="AD30" s="214">
        <v>-6351</v>
      </c>
      <c r="AE30" s="218">
        <v>-2116</v>
      </c>
      <c r="AF30" s="213">
        <v>-2116</v>
      </c>
      <c r="AG30" s="213">
        <v>-2116</v>
      </c>
      <c r="AH30" s="213">
        <v>-2116</v>
      </c>
      <c r="AI30" s="213">
        <v>-2116</v>
      </c>
      <c r="AJ30" s="214">
        <v>-6351</v>
      </c>
      <c r="AK30" s="218">
        <v>0</v>
      </c>
      <c r="AL30" s="213">
        <v>0</v>
      </c>
      <c r="AM30" s="213">
        <v>0</v>
      </c>
      <c r="AN30" s="213">
        <v>0</v>
      </c>
      <c r="AO30" s="213">
        <v>0</v>
      </c>
      <c r="AP30" s="214">
        <v>0</v>
      </c>
      <c r="AQ30" s="215">
        <v>10793</v>
      </c>
      <c r="AR30" s="216">
        <v>10793</v>
      </c>
      <c r="AS30" s="217">
        <v>0</v>
      </c>
      <c r="AT30" s="228">
        <v>252555</v>
      </c>
      <c r="AU30" s="229">
        <v>196345</v>
      </c>
      <c r="AV30" s="229">
        <v>221785</v>
      </c>
      <c r="AW30" s="230">
        <v>221785</v>
      </c>
      <c r="AX30" s="228">
        <v>252555</v>
      </c>
      <c r="AY30" s="229">
        <v>196345</v>
      </c>
      <c r="AZ30" s="229">
        <v>221785</v>
      </c>
      <c r="BA30" s="230">
        <v>221785</v>
      </c>
      <c r="BB30" s="228">
        <v>0</v>
      </c>
      <c r="BC30" s="229">
        <v>0</v>
      </c>
      <c r="BD30" s="229">
        <v>0</v>
      </c>
      <c r="BE30" s="230">
        <v>0</v>
      </c>
      <c r="BF30" s="215">
        <v>240383</v>
      </c>
      <c r="BG30" s="216">
        <v>240383</v>
      </c>
      <c r="BH30" s="217">
        <v>0</v>
      </c>
      <c r="BI30" s="196">
        <f t="shared" si="0"/>
        <v>0</v>
      </c>
    </row>
    <row r="31" spans="2:61">
      <c r="B31" s="195" t="s">
        <v>263</v>
      </c>
      <c r="C31" s="207">
        <v>964308</v>
      </c>
      <c r="D31" s="208">
        <v>482154</v>
      </c>
      <c r="E31" s="209">
        <v>0.5</v>
      </c>
      <c r="F31" s="209">
        <v>0.5</v>
      </c>
      <c r="G31" s="215">
        <v>964308</v>
      </c>
      <c r="H31" s="216">
        <v>482154</v>
      </c>
      <c r="I31" s="217">
        <v>482154</v>
      </c>
      <c r="J31" s="215">
        <v>32773</v>
      </c>
      <c r="K31" s="216">
        <v>16387</v>
      </c>
      <c r="L31" s="216">
        <v>16386</v>
      </c>
      <c r="M31" s="215">
        <v>0</v>
      </c>
      <c r="N31" s="216">
        <v>0</v>
      </c>
      <c r="O31" s="216">
        <v>0</v>
      </c>
      <c r="P31" s="215">
        <v>0</v>
      </c>
      <c r="Q31" s="216">
        <v>0</v>
      </c>
      <c r="R31" s="216">
        <v>0</v>
      </c>
      <c r="S31" s="215">
        <v>0</v>
      </c>
      <c r="T31" s="216">
        <v>0</v>
      </c>
      <c r="U31" s="216">
        <v>0</v>
      </c>
      <c r="V31" s="215">
        <v>73569</v>
      </c>
      <c r="W31" s="216">
        <v>36785</v>
      </c>
      <c r="X31" s="216">
        <v>36784</v>
      </c>
      <c r="Y31" s="218">
        <v>-10819</v>
      </c>
      <c r="Z31" s="213">
        <v>-10819</v>
      </c>
      <c r="AA31" s="213">
        <v>-10819</v>
      </c>
      <c r="AB31" s="213">
        <v>-10819</v>
      </c>
      <c r="AC31" s="213">
        <v>-10819</v>
      </c>
      <c r="AD31" s="214">
        <v>-19474</v>
      </c>
      <c r="AE31" s="218">
        <v>-5409.5</v>
      </c>
      <c r="AF31" s="213">
        <v>-5409.5</v>
      </c>
      <c r="AG31" s="213">
        <v>-5409.5</v>
      </c>
      <c r="AH31" s="213">
        <v>-5409.5</v>
      </c>
      <c r="AI31" s="213">
        <v>-5409.5</v>
      </c>
      <c r="AJ31" s="214">
        <v>-9737</v>
      </c>
      <c r="AK31" s="218">
        <v>-5409.5</v>
      </c>
      <c r="AL31" s="213">
        <v>-5409.5</v>
      </c>
      <c r="AM31" s="213">
        <v>-5409.5</v>
      </c>
      <c r="AN31" s="213">
        <v>-5409.5</v>
      </c>
      <c r="AO31" s="213">
        <v>-5409.5</v>
      </c>
      <c r="AP31" s="214">
        <v>-9737</v>
      </c>
      <c r="AQ31" s="215">
        <v>46424</v>
      </c>
      <c r="AR31" s="216">
        <v>23212</v>
      </c>
      <c r="AS31" s="217">
        <v>23212</v>
      </c>
      <c r="AT31" s="228">
        <v>1101364</v>
      </c>
      <c r="AU31" s="229">
        <v>851914</v>
      </c>
      <c r="AV31" s="229">
        <v>964308</v>
      </c>
      <c r="AW31" s="230">
        <v>964308</v>
      </c>
      <c r="AX31" s="228">
        <v>550682</v>
      </c>
      <c r="AY31" s="229">
        <v>425957</v>
      </c>
      <c r="AZ31" s="229">
        <v>482154</v>
      </c>
      <c r="BA31" s="230">
        <v>482154</v>
      </c>
      <c r="BB31" s="228">
        <v>550682</v>
      </c>
      <c r="BC31" s="229">
        <v>425957</v>
      </c>
      <c r="BD31" s="229">
        <v>482154</v>
      </c>
      <c r="BE31" s="230">
        <v>482154</v>
      </c>
      <c r="BF31" s="215">
        <v>1050404</v>
      </c>
      <c r="BG31" s="216">
        <v>525202</v>
      </c>
      <c r="BH31" s="217">
        <v>525202</v>
      </c>
      <c r="BI31" s="196">
        <f t="shared" si="0"/>
        <v>-43048</v>
      </c>
    </row>
    <row r="32" spans="2:61">
      <c r="B32" s="195" t="s">
        <v>264</v>
      </c>
      <c r="C32" s="207">
        <v>1394519</v>
      </c>
      <c r="D32" s="208">
        <v>1394519</v>
      </c>
      <c r="E32" s="209">
        <v>1</v>
      </c>
      <c r="F32" s="209">
        <v>0</v>
      </c>
      <c r="G32" s="215">
        <v>1394519</v>
      </c>
      <c r="H32" s="216">
        <v>1394519</v>
      </c>
      <c r="I32" s="217">
        <v>0</v>
      </c>
      <c r="J32" s="215">
        <v>61809</v>
      </c>
      <c r="K32" s="216">
        <v>61809</v>
      </c>
      <c r="L32" s="216">
        <v>0</v>
      </c>
      <c r="M32" s="215">
        <v>0</v>
      </c>
      <c r="N32" s="216">
        <v>0</v>
      </c>
      <c r="O32" s="216">
        <v>0</v>
      </c>
      <c r="P32" s="215">
        <v>0</v>
      </c>
      <c r="Q32" s="216">
        <v>0</v>
      </c>
      <c r="R32" s="216">
        <v>0</v>
      </c>
      <c r="S32" s="215">
        <v>0</v>
      </c>
      <c r="T32" s="216">
        <v>0</v>
      </c>
      <c r="U32" s="216">
        <v>0</v>
      </c>
      <c r="V32" s="215">
        <v>108956</v>
      </c>
      <c r="W32" s="216">
        <v>108956</v>
      </c>
      <c r="X32" s="216">
        <v>0</v>
      </c>
      <c r="Y32" s="218">
        <v>-12818</v>
      </c>
      <c r="Z32" s="213">
        <v>-12818</v>
      </c>
      <c r="AA32" s="213">
        <v>-12818</v>
      </c>
      <c r="AB32" s="213">
        <v>-12818</v>
      </c>
      <c r="AC32" s="213">
        <v>-12818</v>
      </c>
      <c r="AD32" s="214">
        <v>-44866</v>
      </c>
      <c r="AE32" s="218">
        <v>-12818</v>
      </c>
      <c r="AF32" s="213">
        <v>-12818</v>
      </c>
      <c r="AG32" s="213">
        <v>-12818</v>
      </c>
      <c r="AH32" s="213">
        <v>-12818</v>
      </c>
      <c r="AI32" s="213">
        <v>-12818</v>
      </c>
      <c r="AJ32" s="214">
        <v>-44866</v>
      </c>
      <c r="AK32" s="218">
        <v>0</v>
      </c>
      <c r="AL32" s="213">
        <v>0</v>
      </c>
      <c r="AM32" s="213">
        <v>0</v>
      </c>
      <c r="AN32" s="213">
        <v>0</v>
      </c>
      <c r="AO32" s="213">
        <v>0</v>
      </c>
      <c r="AP32" s="214">
        <v>0</v>
      </c>
      <c r="AQ32" s="215">
        <v>61733</v>
      </c>
      <c r="AR32" s="216">
        <v>61733</v>
      </c>
      <c r="AS32" s="217">
        <v>0</v>
      </c>
      <c r="AT32" s="228">
        <v>1591673</v>
      </c>
      <c r="AU32" s="229">
        <v>1232142</v>
      </c>
      <c r="AV32" s="229">
        <v>1394519</v>
      </c>
      <c r="AW32" s="230">
        <v>1394519</v>
      </c>
      <c r="AX32" s="228">
        <v>1591673</v>
      </c>
      <c r="AY32" s="229">
        <v>1232142</v>
      </c>
      <c r="AZ32" s="229">
        <v>1394519</v>
      </c>
      <c r="BA32" s="230">
        <v>1394519</v>
      </c>
      <c r="BB32" s="228">
        <v>0</v>
      </c>
      <c r="BC32" s="229">
        <v>0</v>
      </c>
      <c r="BD32" s="229">
        <v>0</v>
      </c>
      <c r="BE32" s="230">
        <v>0</v>
      </c>
      <c r="BF32" s="215">
        <v>1502266</v>
      </c>
      <c r="BG32" s="216">
        <v>1502266</v>
      </c>
      <c r="BH32" s="217">
        <v>0</v>
      </c>
      <c r="BI32" s="196">
        <f t="shared" si="0"/>
        <v>0</v>
      </c>
    </row>
    <row r="33" spans="2:61">
      <c r="B33" s="195" t="s">
        <v>265</v>
      </c>
      <c r="C33" s="207">
        <v>728210</v>
      </c>
      <c r="D33" s="208">
        <v>336666</v>
      </c>
      <c r="E33" s="209">
        <v>0.46232000000000001</v>
      </c>
      <c r="F33" s="209">
        <v>0.53767999999999994</v>
      </c>
      <c r="G33" s="215">
        <v>728210</v>
      </c>
      <c r="H33" s="216">
        <v>336666</v>
      </c>
      <c r="I33" s="217">
        <v>391544</v>
      </c>
      <c r="J33" s="215">
        <v>32786</v>
      </c>
      <c r="K33" s="216">
        <v>15158</v>
      </c>
      <c r="L33" s="216">
        <v>17628</v>
      </c>
      <c r="M33" s="215">
        <v>0</v>
      </c>
      <c r="N33" s="216">
        <v>0</v>
      </c>
      <c r="O33" s="216">
        <v>0</v>
      </c>
      <c r="P33" s="215">
        <v>0</v>
      </c>
      <c r="Q33" s="216">
        <v>0</v>
      </c>
      <c r="R33" s="216">
        <v>0</v>
      </c>
      <c r="S33" s="215">
        <v>0</v>
      </c>
      <c r="T33" s="216">
        <v>0</v>
      </c>
      <c r="U33" s="216">
        <v>0</v>
      </c>
      <c r="V33" s="215">
        <v>62608</v>
      </c>
      <c r="W33" s="216">
        <v>28945</v>
      </c>
      <c r="X33" s="216">
        <v>33663</v>
      </c>
      <c r="Y33" s="218">
        <v>-7635</v>
      </c>
      <c r="Z33" s="213">
        <v>-7635</v>
      </c>
      <c r="AA33" s="213">
        <v>-7635</v>
      </c>
      <c r="AB33" s="213">
        <v>-7635</v>
      </c>
      <c r="AC33" s="213">
        <v>-7635</v>
      </c>
      <c r="AD33" s="214">
        <v>-24433</v>
      </c>
      <c r="AE33" s="218">
        <v>-3529.8132000000001</v>
      </c>
      <c r="AF33" s="213">
        <v>-3529.8132000000001</v>
      </c>
      <c r="AG33" s="213">
        <v>-3529.8132000000001</v>
      </c>
      <c r="AH33" s="213">
        <v>-3529.8132000000001</v>
      </c>
      <c r="AI33" s="213">
        <v>-3529.8132000000001</v>
      </c>
      <c r="AJ33" s="214">
        <v>-11295.86456</v>
      </c>
      <c r="AK33" s="218">
        <v>-4105.1867999999995</v>
      </c>
      <c r="AL33" s="213">
        <v>-4105.1867999999995</v>
      </c>
      <c r="AM33" s="213">
        <v>-4105.1867999999995</v>
      </c>
      <c r="AN33" s="213">
        <v>-4105.1867999999995</v>
      </c>
      <c r="AO33" s="213">
        <v>-4105.1867999999995</v>
      </c>
      <c r="AP33" s="214">
        <v>-13137.13544</v>
      </c>
      <c r="AQ33" s="215">
        <v>22803</v>
      </c>
      <c r="AR33" s="216">
        <v>11307</v>
      </c>
      <c r="AS33" s="217">
        <v>11496</v>
      </c>
      <c r="AT33" s="228">
        <v>842271</v>
      </c>
      <c r="AU33" s="229">
        <v>634758</v>
      </c>
      <c r="AV33" s="229">
        <v>728210</v>
      </c>
      <c r="AW33" s="230">
        <v>728210</v>
      </c>
      <c r="AX33" s="228">
        <v>388763</v>
      </c>
      <c r="AY33" s="229">
        <v>293921</v>
      </c>
      <c r="AZ33" s="229">
        <v>336666</v>
      </c>
      <c r="BA33" s="230">
        <v>336666</v>
      </c>
      <c r="BB33" s="228">
        <v>452872.27127999993</v>
      </c>
      <c r="BC33" s="229">
        <v>341296.68143999996</v>
      </c>
      <c r="BD33" s="229">
        <v>391543.95279999997</v>
      </c>
      <c r="BE33" s="230">
        <v>391543.95279999997</v>
      </c>
      <c r="BF33" s="215">
        <v>779932</v>
      </c>
      <c r="BG33" s="216">
        <v>360578</v>
      </c>
      <c r="BH33" s="217">
        <v>419354</v>
      </c>
      <c r="BI33" s="196">
        <f t="shared" si="0"/>
        <v>-27810</v>
      </c>
    </row>
    <row r="34" spans="2:61">
      <c r="B34" s="195" t="s">
        <v>266</v>
      </c>
      <c r="C34" s="207">
        <v>1197027</v>
      </c>
      <c r="D34" s="208">
        <v>1197027</v>
      </c>
      <c r="E34" s="209">
        <v>1</v>
      </c>
      <c r="F34" s="209">
        <v>0</v>
      </c>
      <c r="G34" s="215">
        <v>1197027</v>
      </c>
      <c r="H34" s="216">
        <v>1197027</v>
      </c>
      <c r="I34" s="217">
        <v>0</v>
      </c>
      <c r="J34" s="215">
        <v>52176</v>
      </c>
      <c r="K34" s="216">
        <v>52176</v>
      </c>
      <c r="L34" s="216">
        <v>0</v>
      </c>
      <c r="M34" s="215">
        <v>0</v>
      </c>
      <c r="N34" s="216">
        <v>0</v>
      </c>
      <c r="O34" s="216">
        <v>0</v>
      </c>
      <c r="P34" s="215">
        <v>0</v>
      </c>
      <c r="Q34" s="216">
        <v>0</v>
      </c>
      <c r="R34" s="216">
        <v>0</v>
      </c>
      <c r="S34" s="215">
        <v>0</v>
      </c>
      <c r="T34" s="216">
        <v>0</v>
      </c>
      <c r="U34" s="216">
        <v>0</v>
      </c>
      <c r="V34" s="215">
        <v>94980</v>
      </c>
      <c r="W34" s="216">
        <v>94980</v>
      </c>
      <c r="X34" s="216">
        <v>0</v>
      </c>
      <c r="Y34" s="218">
        <v>-12177</v>
      </c>
      <c r="Z34" s="213">
        <v>-12177</v>
      </c>
      <c r="AA34" s="213">
        <v>-12177</v>
      </c>
      <c r="AB34" s="213">
        <v>-12177</v>
      </c>
      <c r="AC34" s="213">
        <v>-12177</v>
      </c>
      <c r="AD34" s="214">
        <v>-34095</v>
      </c>
      <c r="AE34" s="218">
        <v>-12177</v>
      </c>
      <c r="AF34" s="213">
        <v>-12177</v>
      </c>
      <c r="AG34" s="213">
        <v>-12177</v>
      </c>
      <c r="AH34" s="213">
        <v>-12177</v>
      </c>
      <c r="AI34" s="213">
        <v>-12177</v>
      </c>
      <c r="AJ34" s="214">
        <v>-34095</v>
      </c>
      <c r="AK34" s="218">
        <v>0</v>
      </c>
      <c r="AL34" s="213">
        <v>0</v>
      </c>
      <c r="AM34" s="213">
        <v>0</v>
      </c>
      <c r="AN34" s="213">
        <v>0</v>
      </c>
      <c r="AO34" s="213">
        <v>0</v>
      </c>
      <c r="AP34" s="214">
        <v>0</v>
      </c>
      <c r="AQ34" s="215">
        <v>47406</v>
      </c>
      <c r="AR34" s="216">
        <v>47406</v>
      </c>
      <c r="AS34" s="217">
        <v>0</v>
      </c>
      <c r="AT34" s="228">
        <v>1370536</v>
      </c>
      <c r="AU34" s="229">
        <v>1053909</v>
      </c>
      <c r="AV34" s="229">
        <v>1197027</v>
      </c>
      <c r="AW34" s="230">
        <v>1197027</v>
      </c>
      <c r="AX34" s="228">
        <v>1370536</v>
      </c>
      <c r="AY34" s="229">
        <v>1053909</v>
      </c>
      <c r="AZ34" s="229">
        <v>1197027</v>
      </c>
      <c r="BA34" s="230">
        <v>1197027</v>
      </c>
      <c r="BB34" s="228">
        <v>0</v>
      </c>
      <c r="BC34" s="229">
        <v>0</v>
      </c>
      <c r="BD34" s="229">
        <v>0</v>
      </c>
      <c r="BE34" s="230">
        <v>0</v>
      </c>
      <c r="BF34" s="215">
        <v>1285431</v>
      </c>
      <c r="BG34" s="216">
        <v>1285431</v>
      </c>
      <c r="BH34" s="217">
        <v>0</v>
      </c>
      <c r="BI34" s="196">
        <f t="shared" si="0"/>
        <v>0</v>
      </c>
    </row>
    <row r="35" spans="2:61">
      <c r="B35" s="195" t="s">
        <v>267</v>
      </c>
      <c r="C35" s="207">
        <v>1236542</v>
      </c>
      <c r="D35" s="208">
        <v>1236542</v>
      </c>
      <c r="E35" s="209">
        <v>1</v>
      </c>
      <c r="F35" s="209">
        <v>0</v>
      </c>
      <c r="G35" s="215">
        <v>1236542</v>
      </c>
      <c r="H35" s="216">
        <v>1236542</v>
      </c>
      <c r="I35" s="217">
        <v>0</v>
      </c>
      <c r="J35" s="215">
        <v>53141</v>
      </c>
      <c r="K35" s="216">
        <v>53141</v>
      </c>
      <c r="L35" s="216">
        <v>0</v>
      </c>
      <c r="M35" s="215">
        <v>0</v>
      </c>
      <c r="N35" s="216">
        <v>0</v>
      </c>
      <c r="O35" s="216">
        <v>0</v>
      </c>
      <c r="P35" s="215">
        <v>0</v>
      </c>
      <c r="Q35" s="216">
        <v>0</v>
      </c>
      <c r="R35" s="216">
        <v>0</v>
      </c>
      <c r="S35" s="215">
        <v>0</v>
      </c>
      <c r="T35" s="216">
        <v>0</v>
      </c>
      <c r="U35" s="216">
        <v>0</v>
      </c>
      <c r="V35" s="215">
        <v>100924</v>
      </c>
      <c r="W35" s="216">
        <v>100924</v>
      </c>
      <c r="X35" s="216">
        <v>0</v>
      </c>
      <c r="Y35" s="218">
        <v>-12159</v>
      </c>
      <c r="Z35" s="213">
        <v>-12159</v>
      </c>
      <c r="AA35" s="213">
        <v>-12159</v>
      </c>
      <c r="AB35" s="213">
        <v>-12159</v>
      </c>
      <c r="AC35" s="213">
        <v>-12159</v>
      </c>
      <c r="AD35" s="214">
        <v>-40129</v>
      </c>
      <c r="AE35" s="218">
        <v>-12159</v>
      </c>
      <c r="AF35" s="213">
        <v>-12159</v>
      </c>
      <c r="AG35" s="213">
        <v>-12159</v>
      </c>
      <c r="AH35" s="213">
        <v>-12159</v>
      </c>
      <c r="AI35" s="213">
        <v>-12159</v>
      </c>
      <c r="AJ35" s="214">
        <v>-40129</v>
      </c>
      <c r="AK35" s="218">
        <v>0</v>
      </c>
      <c r="AL35" s="213">
        <v>0</v>
      </c>
      <c r="AM35" s="213">
        <v>0</v>
      </c>
      <c r="AN35" s="213">
        <v>0</v>
      </c>
      <c r="AO35" s="213">
        <v>0</v>
      </c>
      <c r="AP35" s="214">
        <v>0</v>
      </c>
      <c r="AQ35" s="215">
        <v>51555</v>
      </c>
      <c r="AR35" s="216">
        <v>51555</v>
      </c>
      <c r="AS35" s="217">
        <v>0</v>
      </c>
      <c r="AT35" s="228">
        <v>1419610</v>
      </c>
      <c r="AU35" s="229">
        <v>1086249</v>
      </c>
      <c r="AV35" s="229">
        <v>1236542</v>
      </c>
      <c r="AW35" s="230">
        <v>1236542</v>
      </c>
      <c r="AX35" s="228">
        <v>1419610</v>
      </c>
      <c r="AY35" s="229">
        <v>1086249</v>
      </c>
      <c r="AZ35" s="229">
        <v>1236542</v>
      </c>
      <c r="BA35" s="230">
        <v>1236542</v>
      </c>
      <c r="BB35" s="228">
        <v>0</v>
      </c>
      <c r="BC35" s="229">
        <v>0</v>
      </c>
      <c r="BD35" s="229">
        <v>0</v>
      </c>
      <c r="BE35" s="230">
        <v>0</v>
      </c>
      <c r="BF35" s="215">
        <v>1334425</v>
      </c>
      <c r="BG35" s="216">
        <v>1334425</v>
      </c>
      <c r="BH35" s="217">
        <v>0</v>
      </c>
      <c r="BI35" s="196">
        <f t="shared" si="0"/>
        <v>0</v>
      </c>
    </row>
    <row r="36" spans="2:61">
      <c r="B36" s="195" t="s">
        <v>449</v>
      </c>
      <c r="C36" s="207">
        <v>926320</v>
      </c>
      <c r="D36" s="208">
        <v>926320</v>
      </c>
      <c r="E36" s="209">
        <v>1</v>
      </c>
      <c r="F36" s="209">
        <v>0</v>
      </c>
      <c r="G36" s="215">
        <v>926320</v>
      </c>
      <c r="H36" s="216">
        <v>926320</v>
      </c>
      <c r="I36" s="217">
        <v>0</v>
      </c>
      <c r="J36" s="215">
        <v>66541</v>
      </c>
      <c r="K36" s="216">
        <v>66541</v>
      </c>
      <c r="L36" s="216">
        <v>0</v>
      </c>
      <c r="M36" s="215">
        <v>0</v>
      </c>
      <c r="N36" s="216">
        <v>0</v>
      </c>
      <c r="O36" s="216">
        <v>0</v>
      </c>
      <c r="P36" s="215">
        <v>0</v>
      </c>
      <c r="Q36" s="216">
        <v>0</v>
      </c>
      <c r="R36" s="216">
        <v>0</v>
      </c>
      <c r="S36" s="215">
        <v>0</v>
      </c>
      <c r="T36" s="216">
        <v>0</v>
      </c>
      <c r="U36" s="216">
        <v>0</v>
      </c>
      <c r="V36" s="215">
        <v>111262</v>
      </c>
      <c r="W36" s="216">
        <v>111262</v>
      </c>
      <c r="X36" s="216">
        <v>0</v>
      </c>
      <c r="Y36" s="218">
        <v>-10596</v>
      </c>
      <c r="Z36" s="213">
        <v>-10596</v>
      </c>
      <c r="AA36" s="213">
        <v>-10596</v>
      </c>
      <c r="AB36" s="213">
        <v>-10596</v>
      </c>
      <c r="AC36" s="213">
        <v>-10596</v>
      </c>
      <c r="AD36" s="214">
        <v>-58282</v>
      </c>
      <c r="AE36" s="218">
        <v>-10596</v>
      </c>
      <c r="AF36" s="213">
        <v>-10596</v>
      </c>
      <c r="AG36" s="213">
        <v>-10596</v>
      </c>
      <c r="AH36" s="213">
        <v>-10596</v>
      </c>
      <c r="AI36" s="213">
        <v>-10596</v>
      </c>
      <c r="AJ36" s="214">
        <v>-58282</v>
      </c>
      <c r="AK36" s="218">
        <v>0</v>
      </c>
      <c r="AL36" s="213">
        <v>0</v>
      </c>
      <c r="AM36" s="213">
        <v>0</v>
      </c>
      <c r="AN36" s="213">
        <v>0</v>
      </c>
      <c r="AO36" s="213">
        <v>0</v>
      </c>
      <c r="AP36" s="214">
        <v>0</v>
      </c>
      <c r="AQ36" s="215">
        <v>675</v>
      </c>
      <c r="AR36" s="216">
        <v>675</v>
      </c>
      <c r="AS36" s="217">
        <v>0</v>
      </c>
      <c r="AT36" s="228">
        <v>1124507</v>
      </c>
      <c r="AU36" s="229">
        <v>767797</v>
      </c>
      <c r="AV36" s="229">
        <v>926320</v>
      </c>
      <c r="AW36" s="230">
        <v>926320</v>
      </c>
      <c r="AX36" s="228">
        <v>1124507</v>
      </c>
      <c r="AY36" s="229">
        <v>767797</v>
      </c>
      <c r="AZ36" s="229">
        <v>926320</v>
      </c>
      <c r="BA36" s="230">
        <v>926320</v>
      </c>
      <c r="BB36" s="228">
        <v>0</v>
      </c>
      <c r="BC36" s="229">
        <v>0</v>
      </c>
      <c r="BD36" s="229">
        <v>0</v>
      </c>
      <c r="BE36" s="230">
        <v>0</v>
      </c>
      <c r="BF36" s="215">
        <v>971041</v>
      </c>
      <c r="BG36" s="216">
        <v>971041</v>
      </c>
      <c r="BH36" s="217">
        <v>0</v>
      </c>
      <c r="BI36" s="196">
        <f t="shared" si="0"/>
        <v>0</v>
      </c>
    </row>
    <row r="37" spans="2:61">
      <c r="B37" s="195" t="s">
        <v>268</v>
      </c>
      <c r="C37" s="207">
        <v>0</v>
      </c>
      <c r="D37" s="208">
        <v>0</v>
      </c>
      <c r="E37" s="209">
        <v>0</v>
      </c>
      <c r="F37" s="209">
        <v>1</v>
      </c>
      <c r="G37" s="215">
        <v>0</v>
      </c>
      <c r="H37" s="216">
        <v>0</v>
      </c>
      <c r="I37" s="217">
        <v>0</v>
      </c>
      <c r="J37" s="215">
        <v>0</v>
      </c>
      <c r="K37" s="216">
        <v>0</v>
      </c>
      <c r="L37" s="216">
        <v>0</v>
      </c>
      <c r="M37" s="215">
        <v>0</v>
      </c>
      <c r="N37" s="216">
        <v>0</v>
      </c>
      <c r="O37" s="216">
        <v>0</v>
      </c>
      <c r="P37" s="215">
        <v>0</v>
      </c>
      <c r="Q37" s="216">
        <v>0</v>
      </c>
      <c r="R37" s="216">
        <v>0</v>
      </c>
      <c r="S37" s="215">
        <v>0</v>
      </c>
      <c r="T37" s="216">
        <v>0</v>
      </c>
      <c r="U37" s="216">
        <v>0</v>
      </c>
      <c r="V37" s="215">
        <v>0</v>
      </c>
      <c r="W37" s="216">
        <v>0</v>
      </c>
      <c r="X37" s="216">
        <v>0</v>
      </c>
      <c r="Y37" s="218">
        <v>0</v>
      </c>
      <c r="Z37" s="213">
        <v>0</v>
      </c>
      <c r="AA37" s="213">
        <v>0</v>
      </c>
      <c r="AB37" s="213">
        <v>0</v>
      </c>
      <c r="AC37" s="213">
        <v>0</v>
      </c>
      <c r="AD37" s="214">
        <v>0</v>
      </c>
      <c r="AE37" s="218">
        <v>0</v>
      </c>
      <c r="AF37" s="213">
        <v>0</v>
      </c>
      <c r="AG37" s="213">
        <v>0</v>
      </c>
      <c r="AH37" s="213">
        <v>0</v>
      </c>
      <c r="AI37" s="213">
        <v>0</v>
      </c>
      <c r="AJ37" s="214">
        <v>0</v>
      </c>
      <c r="AK37" s="218">
        <v>0</v>
      </c>
      <c r="AL37" s="213">
        <v>0</v>
      </c>
      <c r="AM37" s="213">
        <v>0</v>
      </c>
      <c r="AN37" s="213">
        <v>0</v>
      </c>
      <c r="AO37" s="213">
        <v>0</v>
      </c>
      <c r="AP37" s="214">
        <v>0</v>
      </c>
      <c r="AQ37" s="215">
        <v>0</v>
      </c>
      <c r="AR37" s="216">
        <v>0</v>
      </c>
      <c r="AS37" s="217">
        <v>0</v>
      </c>
      <c r="AT37" s="228">
        <v>0</v>
      </c>
      <c r="AU37" s="229">
        <v>0</v>
      </c>
      <c r="AV37" s="229">
        <v>0</v>
      </c>
      <c r="AW37" s="230">
        <v>0</v>
      </c>
      <c r="AX37" s="228">
        <v>0</v>
      </c>
      <c r="AY37" s="229">
        <v>0</v>
      </c>
      <c r="AZ37" s="229">
        <v>0</v>
      </c>
      <c r="BA37" s="230">
        <v>0</v>
      </c>
      <c r="BB37" s="228">
        <v>0</v>
      </c>
      <c r="BC37" s="229">
        <v>0</v>
      </c>
      <c r="BD37" s="229">
        <v>0</v>
      </c>
      <c r="BE37" s="230">
        <v>0</v>
      </c>
      <c r="BF37" s="215">
        <v>0</v>
      </c>
      <c r="BG37" s="216">
        <v>0</v>
      </c>
      <c r="BH37" s="217">
        <v>0</v>
      </c>
      <c r="BI37" s="196">
        <f t="shared" si="0"/>
        <v>0</v>
      </c>
    </row>
    <row r="38" spans="2:61">
      <c r="B38" s="195" t="s">
        <v>269</v>
      </c>
      <c r="C38" s="207">
        <v>388466</v>
      </c>
      <c r="D38" s="208">
        <v>388466</v>
      </c>
      <c r="E38" s="209">
        <v>1</v>
      </c>
      <c r="F38" s="209">
        <v>0</v>
      </c>
      <c r="G38" s="215">
        <v>388466</v>
      </c>
      <c r="H38" s="216">
        <v>388466</v>
      </c>
      <c r="I38" s="217">
        <v>0</v>
      </c>
      <c r="J38" s="215">
        <v>17229</v>
      </c>
      <c r="K38" s="216">
        <v>17229</v>
      </c>
      <c r="L38" s="216">
        <v>0</v>
      </c>
      <c r="M38" s="215">
        <v>0</v>
      </c>
      <c r="N38" s="216">
        <v>0</v>
      </c>
      <c r="O38" s="216">
        <v>0</v>
      </c>
      <c r="P38" s="215">
        <v>0</v>
      </c>
      <c r="Q38" s="216">
        <v>0</v>
      </c>
      <c r="R38" s="216">
        <v>0</v>
      </c>
      <c r="S38" s="215">
        <v>0</v>
      </c>
      <c r="T38" s="216">
        <v>0</v>
      </c>
      <c r="U38" s="216">
        <v>0</v>
      </c>
      <c r="V38" s="215">
        <v>33689</v>
      </c>
      <c r="W38" s="216">
        <v>33689</v>
      </c>
      <c r="X38" s="216">
        <v>0</v>
      </c>
      <c r="Y38" s="218">
        <v>-3828</v>
      </c>
      <c r="Z38" s="213">
        <v>-3828</v>
      </c>
      <c r="AA38" s="213">
        <v>-3828</v>
      </c>
      <c r="AB38" s="213">
        <v>-3828</v>
      </c>
      <c r="AC38" s="213">
        <v>-3828</v>
      </c>
      <c r="AD38" s="214">
        <v>-14549</v>
      </c>
      <c r="AE38" s="218">
        <v>-3828</v>
      </c>
      <c r="AF38" s="213">
        <v>-3828</v>
      </c>
      <c r="AG38" s="213">
        <v>-3828</v>
      </c>
      <c r="AH38" s="213">
        <v>-3828</v>
      </c>
      <c r="AI38" s="213">
        <v>-3828</v>
      </c>
      <c r="AJ38" s="214">
        <v>-14549</v>
      </c>
      <c r="AK38" s="218">
        <v>0</v>
      </c>
      <c r="AL38" s="213">
        <v>0</v>
      </c>
      <c r="AM38" s="213">
        <v>0</v>
      </c>
      <c r="AN38" s="213">
        <v>0</v>
      </c>
      <c r="AO38" s="213">
        <v>0</v>
      </c>
      <c r="AP38" s="214">
        <v>0</v>
      </c>
      <c r="AQ38" s="215">
        <v>17262</v>
      </c>
      <c r="AR38" s="216">
        <v>17262</v>
      </c>
      <c r="AS38" s="217">
        <v>0</v>
      </c>
      <c r="AT38" s="228">
        <v>449333</v>
      </c>
      <c r="AU38" s="229">
        <v>339074</v>
      </c>
      <c r="AV38" s="229">
        <v>388466</v>
      </c>
      <c r="AW38" s="230">
        <v>388466</v>
      </c>
      <c r="AX38" s="228">
        <v>449333</v>
      </c>
      <c r="AY38" s="229">
        <v>339074</v>
      </c>
      <c r="AZ38" s="229">
        <v>388466</v>
      </c>
      <c r="BA38" s="230">
        <v>388466</v>
      </c>
      <c r="BB38" s="228">
        <v>0</v>
      </c>
      <c r="BC38" s="229">
        <v>0</v>
      </c>
      <c r="BD38" s="229">
        <v>0</v>
      </c>
      <c r="BE38" s="230">
        <v>0</v>
      </c>
      <c r="BF38" s="215">
        <v>421876</v>
      </c>
      <c r="BG38" s="216">
        <v>421876</v>
      </c>
      <c r="BH38" s="217">
        <v>0</v>
      </c>
      <c r="BI38" s="196">
        <f t="shared" si="0"/>
        <v>0</v>
      </c>
    </row>
    <row r="39" spans="2:61">
      <c r="B39" s="195" t="s">
        <v>270</v>
      </c>
      <c r="C39" s="207">
        <v>1739829</v>
      </c>
      <c r="D39" s="208">
        <v>1739829</v>
      </c>
      <c r="E39" s="209">
        <v>1</v>
      </c>
      <c r="F39" s="209">
        <v>0</v>
      </c>
      <c r="G39" s="215">
        <v>1739829</v>
      </c>
      <c r="H39" s="216">
        <v>1739829</v>
      </c>
      <c r="I39" s="217">
        <v>0</v>
      </c>
      <c r="J39" s="215">
        <v>77315</v>
      </c>
      <c r="K39" s="216">
        <v>77315</v>
      </c>
      <c r="L39" s="216">
        <v>0</v>
      </c>
      <c r="M39" s="215">
        <v>0</v>
      </c>
      <c r="N39" s="216">
        <v>0</v>
      </c>
      <c r="O39" s="216">
        <v>0</v>
      </c>
      <c r="P39" s="215">
        <v>0</v>
      </c>
      <c r="Q39" s="216">
        <v>0</v>
      </c>
      <c r="R39" s="216">
        <v>0</v>
      </c>
      <c r="S39" s="215">
        <v>0</v>
      </c>
      <c r="T39" s="216">
        <v>0</v>
      </c>
      <c r="U39" s="216">
        <v>0</v>
      </c>
      <c r="V39" s="215">
        <v>147774</v>
      </c>
      <c r="W39" s="216">
        <v>147774</v>
      </c>
      <c r="X39" s="216">
        <v>0</v>
      </c>
      <c r="Y39" s="218">
        <v>-16985</v>
      </c>
      <c r="Z39" s="213">
        <v>-16985</v>
      </c>
      <c r="AA39" s="213">
        <v>-16985</v>
      </c>
      <c r="AB39" s="213">
        <v>-16985</v>
      </c>
      <c r="AC39" s="213">
        <v>-16985</v>
      </c>
      <c r="AD39" s="214">
        <v>-62849</v>
      </c>
      <c r="AE39" s="218">
        <v>-16985</v>
      </c>
      <c r="AF39" s="213">
        <v>-16985</v>
      </c>
      <c r="AG39" s="213">
        <v>-16985</v>
      </c>
      <c r="AH39" s="213">
        <v>-16985</v>
      </c>
      <c r="AI39" s="213">
        <v>-16985</v>
      </c>
      <c r="AJ39" s="214">
        <v>-62849</v>
      </c>
      <c r="AK39" s="218">
        <v>0</v>
      </c>
      <c r="AL39" s="213">
        <v>0</v>
      </c>
      <c r="AM39" s="213">
        <v>0</v>
      </c>
      <c r="AN39" s="213">
        <v>0</v>
      </c>
      <c r="AO39" s="213">
        <v>0</v>
      </c>
      <c r="AP39" s="214">
        <v>0</v>
      </c>
      <c r="AQ39" s="215">
        <v>60860</v>
      </c>
      <c r="AR39" s="216">
        <v>60860</v>
      </c>
      <c r="AS39" s="217">
        <v>0</v>
      </c>
      <c r="AT39" s="228">
        <v>2006829</v>
      </c>
      <c r="AU39" s="229">
        <v>1521269</v>
      </c>
      <c r="AV39" s="229">
        <v>1739829</v>
      </c>
      <c r="AW39" s="230">
        <v>1739829</v>
      </c>
      <c r="AX39" s="228">
        <v>2006829</v>
      </c>
      <c r="AY39" s="229">
        <v>1521269</v>
      </c>
      <c r="AZ39" s="229">
        <v>1739829</v>
      </c>
      <c r="BA39" s="230">
        <v>1739829</v>
      </c>
      <c r="BB39" s="228">
        <v>0</v>
      </c>
      <c r="BC39" s="229">
        <v>0</v>
      </c>
      <c r="BD39" s="229">
        <v>0</v>
      </c>
      <c r="BE39" s="230">
        <v>0</v>
      </c>
      <c r="BF39" s="215">
        <v>1869538</v>
      </c>
      <c r="BG39" s="216">
        <v>1869538</v>
      </c>
      <c r="BH39" s="217">
        <v>0</v>
      </c>
      <c r="BI39" s="196">
        <f t="shared" si="0"/>
        <v>0</v>
      </c>
    </row>
    <row r="40" spans="2:61">
      <c r="B40" s="195" t="s">
        <v>450</v>
      </c>
      <c r="C40" s="207">
        <v>11059673</v>
      </c>
      <c r="D40" s="208">
        <v>11059673</v>
      </c>
      <c r="E40" s="209">
        <v>1</v>
      </c>
      <c r="F40" s="209">
        <v>0</v>
      </c>
      <c r="G40" s="215">
        <v>11059673</v>
      </c>
      <c r="H40" s="216">
        <v>11059673</v>
      </c>
      <c r="I40" s="217">
        <v>0</v>
      </c>
      <c r="J40" s="215">
        <v>670902</v>
      </c>
      <c r="K40" s="216">
        <v>670902</v>
      </c>
      <c r="L40" s="216">
        <v>0</v>
      </c>
      <c r="M40" s="215">
        <v>0</v>
      </c>
      <c r="N40" s="216">
        <v>0</v>
      </c>
      <c r="O40" s="216">
        <v>0</v>
      </c>
      <c r="P40" s="215">
        <v>0</v>
      </c>
      <c r="Q40" s="216">
        <v>0</v>
      </c>
      <c r="R40" s="216">
        <v>0</v>
      </c>
      <c r="S40" s="215">
        <v>0</v>
      </c>
      <c r="T40" s="216">
        <v>0</v>
      </c>
      <c r="U40" s="216">
        <v>0</v>
      </c>
      <c r="V40" s="215">
        <v>1203470</v>
      </c>
      <c r="W40" s="216">
        <v>1203470</v>
      </c>
      <c r="X40" s="216">
        <v>0</v>
      </c>
      <c r="Y40" s="218">
        <v>-110410</v>
      </c>
      <c r="Z40" s="213">
        <v>-110410</v>
      </c>
      <c r="AA40" s="213">
        <v>-110410</v>
      </c>
      <c r="AB40" s="213">
        <v>-110410</v>
      </c>
      <c r="AC40" s="213">
        <v>-110410</v>
      </c>
      <c r="AD40" s="214">
        <v>-651420</v>
      </c>
      <c r="AE40" s="218">
        <v>-110410</v>
      </c>
      <c r="AF40" s="213">
        <v>-110410</v>
      </c>
      <c r="AG40" s="213">
        <v>-110410</v>
      </c>
      <c r="AH40" s="213">
        <v>-110410</v>
      </c>
      <c r="AI40" s="213">
        <v>-110410</v>
      </c>
      <c r="AJ40" s="214">
        <v>-651420</v>
      </c>
      <c r="AK40" s="218">
        <v>0</v>
      </c>
      <c r="AL40" s="213">
        <v>0</v>
      </c>
      <c r="AM40" s="213">
        <v>0</v>
      </c>
      <c r="AN40" s="213">
        <v>0</v>
      </c>
      <c r="AO40" s="213">
        <v>0</v>
      </c>
      <c r="AP40" s="214">
        <v>0</v>
      </c>
      <c r="AQ40" s="215">
        <v>42371</v>
      </c>
      <c r="AR40" s="216">
        <v>42371</v>
      </c>
      <c r="AS40" s="217">
        <v>0</v>
      </c>
      <c r="AT40" s="228">
        <v>13197818</v>
      </c>
      <c r="AU40" s="229">
        <v>9338092</v>
      </c>
      <c r="AV40" s="229">
        <v>11059673</v>
      </c>
      <c r="AW40" s="230">
        <v>11059673</v>
      </c>
      <c r="AX40" s="228">
        <v>13197818</v>
      </c>
      <c r="AY40" s="229">
        <v>9338092</v>
      </c>
      <c r="AZ40" s="229">
        <v>11059673</v>
      </c>
      <c r="BA40" s="230">
        <v>11059673</v>
      </c>
      <c r="BB40" s="228">
        <v>0</v>
      </c>
      <c r="BC40" s="229">
        <v>0</v>
      </c>
      <c r="BD40" s="229">
        <v>0</v>
      </c>
      <c r="BE40" s="230">
        <v>0</v>
      </c>
      <c r="BF40" s="215">
        <v>11592241</v>
      </c>
      <c r="BG40" s="216">
        <v>11592241</v>
      </c>
      <c r="BH40" s="217">
        <v>0</v>
      </c>
      <c r="BI40" s="196">
        <f t="shared" si="0"/>
        <v>0</v>
      </c>
    </row>
    <row r="41" spans="2:61">
      <c r="B41" s="195" t="s">
        <v>271</v>
      </c>
      <c r="C41" s="207">
        <v>489761</v>
      </c>
      <c r="D41" s="208">
        <v>489761</v>
      </c>
      <c r="E41" s="209">
        <v>1</v>
      </c>
      <c r="F41" s="209">
        <v>0</v>
      </c>
      <c r="G41" s="215">
        <v>489761</v>
      </c>
      <c r="H41" s="216">
        <v>489761</v>
      </c>
      <c r="I41" s="217">
        <v>0</v>
      </c>
      <c r="J41" s="215">
        <v>20640</v>
      </c>
      <c r="K41" s="216">
        <v>20640</v>
      </c>
      <c r="L41" s="216">
        <v>0</v>
      </c>
      <c r="M41" s="215">
        <v>0</v>
      </c>
      <c r="N41" s="216">
        <v>0</v>
      </c>
      <c r="O41" s="216">
        <v>0</v>
      </c>
      <c r="P41" s="215">
        <v>0</v>
      </c>
      <c r="Q41" s="216">
        <v>0</v>
      </c>
      <c r="R41" s="216">
        <v>0</v>
      </c>
      <c r="S41" s="215">
        <v>0</v>
      </c>
      <c r="T41" s="216">
        <v>0</v>
      </c>
      <c r="U41" s="216">
        <v>0</v>
      </c>
      <c r="V41" s="215">
        <v>40586</v>
      </c>
      <c r="W41" s="216">
        <v>40586</v>
      </c>
      <c r="X41" s="216">
        <v>0</v>
      </c>
      <c r="Y41" s="218">
        <v>-5138</v>
      </c>
      <c r="Z41" s="213">
        <v>-5138</v>
      </c>
      <c r="AA41" s="213">
        <v>-5138</v>
      </c>
      <c r="AB41" s="213">
        <v>-5138</v>
      </c>
      <c r="AC41" s="213">
        <v>-5138</v>
      </c>
      <c r="AD41" s="214">
        <v>-14896</v>
      </c>
      <c r="AE41" s="218">
        <v>-5138</v>
      </c>
      <c r="AF41" s="213">
        <v>-5138</v>
      </c>
      <c r="AG41" s="213">
        <v>-5138</v>
      </c>
      <c r="AH41" s="213">
        <v>-5138</v>
      </c>
      <c r="AI41" s="213">
        <v>-5138</v>
      </c>
      <c r="AJ41" s="214">
        <v>-14896</v>
      </c>
      <c r="AK41" s="218">
        <v>0</v>
      </c>
      <c r="AL41" s="213">
        <v>0</v>
      </c>
      <c r="AM41" s="213">
        <v>0</v>
      </c>
      <c r="AN41" s="213">
        <v>0</v>
      </c>
      <c r="AO41" s="213">
        <v>0</v>
      </c>
      <c r="AP41" s="214">
        <v>0</v>
      </c>
      <c r="AQ41" s="215">
        <v>19963</v>
      </c>
      <c r="AR41" s="216">
        <v>19963</v>
      </c>
      <c r="AS41" s="217">
        <v>0</v>
      </c>
      <c r="AT41" s="228">
        <v>563766</v>
      </c>
      <c r="AU41" s="229">
        <v>429195</v>
      </c>
      <c r="AV41" s="229">
        <v>489761</v>
      </c>
      <c r="AW41" s="230">
        <v>489761</v>
      </c>
      <c r="AX41" s="228">
        <v>563766</v>
      </c>
      <c r="AY41" s="229">
        <v>429195</v>
      </c>
      <c r="AZ41" s="229">
        <v>489761</v>
      </c>
      <c r="BA41" s="230">
        <v>489761</v>
      </c>
      <c r="BB41" s="228">
        <v>0</v>
      </c>
      <c r="BC41" s="229">
        <v>0</v>
      </c>
      <c r="BD41" s="229">
        <v>0</v>
      </c>
      <c r="BE41" s="230">
        <v>0</v>
      </c>
      <c r="BF41" s="215">
        <v>528907</v>
      </c>
      <c r="BG41" s="216">
        <v>528907</v>
      </c>
      <c r="BH41" s="217">
        <v>0</v>
      </c>
      <c r="BI41" s="196">
        <f t="shared" si="0"/>
        <v>0</v>
      </c>
    </row>
    <row r="42" spans="2:61">
      <c r="B42" s="195" t="s">
        <v>272</v>
      </c>
      <c r="C42" s="207">
        <v>752820</v>
      </c>
      <c r="D42" s="208">
        <v>752820</v>
      </c>
      <c r="E42" s="209">
        <v>1</v>
      </c>
      <c r="F42" s="209">
        <v>0</v>
      </c>
      <c r="G42" s="215">
        <v>752820</v>
      </c>
      <c r="H42" s="216">
        <v>752820</v>
      </c>
      <c r="I42" s="217">
        <v>0</v>
      </c>
      <c r="J42" s="215">
        <v>33455</v>
      </c>
      <c r="K42" s="216">
        <v>33455</v>
      </c>
      <c r="L42" s="216">
        <v>0</v>
      </c>
      <c r="M42" s="215">
        <v>0</v>
      </c>
      <c r="N42" s="216">
        <v>0</v>
      </c>
      <c r="O42" s="216">
        <v>0</v>
      </c>
      <c r="P42" s="215">
        <v>0</v>
      </c>
      <c r="Q42" s="216">
        <v>0</v>
      </c>
      <c r="R42" s="216">
        <v>0</v>
      </c>
      <c r="S42" s="215">
        <v>0</v>
      </c>
      <c r="T42" s="216">
        <v>0</v>
      </c>
      <c r="U42" s="216">
        <v>0</v>
      </c>
      <c r="V42" s="215">
        <v>63931</v>
      </c>
      <c r="W42" s="216">
        <v>63931</v>
      </c>
      <c r="X42" s="216">
        <v>0</v>
      </c>
      <c r="Y42" s="218">
        <v>-7434</v>
      </c>
      <c r="Z42" s="213">
        <v>-7434</v>
      </c>
      <c r="AA42" s="213">
        <v>-7434</v>
      </c>
      <c r="AB42" s="213">
        <v>-7434</v>
      </c>
      <c r="AC42" s="213">
        <v>-7434</v>
      </c>
      <c r="AD42" s="214">
        <v>-26761</v>
      </c>
      <c r="AE42" s="218">
        <v>-7434</v>
      </c>
      <c r="AF42" s="213">
        <v>-7434</v>
      </c>
      <c r="AG42" s="213">
        <v>-7434</v>
      </c>
      <c r="AH42" s="213">
        <v>-7434</v>
      </c>
      <c r="AI42" s="213">
        <v>-7434</v>
      </c>
      <c r="AJ42" s="214">
        <v>-26761</v>
      </c>
      <c r="AK42" s="218">
        <v>0</v>
      </c>
      <c r="AL42" s="213">
        <v>0</v>
      </c>
      <c r="AM42" s="213">
        <v>0</v>
      </c>
      <c r="AN42" s="213">
        <v>0</v>
      </c>
      <c r="AO42" s="213">
        <v>0</v>
      </c>
      <c r="AP42" s="214">
        <v>0</v>
      </c>
      <c r="AQ42" s="215">
        <v>32102</v>
      </c>
      <c r="AR42" s="216">
        <v>32102</v>
      </c>
      <c r="AS42" s="217">
        <v>0</v>
      </c>
      <c r="AT42" s="228">
        <v>868550</v>
      </c>
      <c r="AU42" s="229">
        <v>658299</v>
      </c>
      <c r="AV42" s="229">
        <v>752820</v>
      </c>
      <c r="AW42" s="230">
        <v>752820</v>
      </c>
      <c r="AX42" s="228">
        <v>868550</v>
      </c>
      <c r="AY42" s="229">
        <v>658299</v>
      </c>
      <c r="AZ42" s="229">
        <v>752820</v>
      </c>
      <c r="BA42" s="230">
        <v>752820</v>
      </c>
      <c r="BB42" s="228">
        <v>0</v>
      </c>
      <c r="BC42" s="229">
        <v>0</v>
      </c>
      <c r="BD42" s="229">
        <v>0</v>
      </c>
      <c r="BE42" s="230">
        <v>0</v>
      </c>
      <c r="BF42" s="215">
        <v>814946</v>
      </c>
      <c r="BG42" s="216">
        <v>814946</v>
      </c>
      <c r="BH42" s="217">
        <v>0</v>
      </c>
      <c r="BI42" s="196">
        <f t="shared" si="0"/>
        <v>0</v>
      </c>
    </row>
    <row r="43" spans="2:61">
      <c r="B43" s="195" t="s">
        <v>273</v>
      </c>
      <c r="C43" s="207">
        <v>2053335</v>
      </c>
      <c r="D43" s="208">
        <v>2053335</v>
      </c>
      <c r="E43" s="209">
        <v>1</v>
      </c>
      <c r="F43" s="209">
        <v>0</v>
      </c>
      <c r="G43" s="215">
        <v>2053335</v>
      </c>
      <c r="H43" s="216">
        <v>2053335</v>
      </c>
      <c r="I43" s="217">
        <v>0</v>
      </c>
      <c r="J43" s="215">
        <v>93584</v>
      </c>
      <c r="K43" s="216">
        <v>93584</v>
      </c>
      <c r="L43" s="216">
        <v>0</v>
      </c>
      <c r="M43" s="215">
        <v>0</v>
      </c>
      <c r="N43" s="216">
        <v>0</v>
      </c>
      <c r="O43" s="216">
        <v>0</v>
      </c>
      <c r="P43" s="215">
        <v>0</v>
      </c>
      <c r="Q43" s="216">
        <v>0</v>
      </c>
      <c r="R43" s="216">
        <v>0</v>
      </c>
      <c r="S43" s="215">
        <v>0</v>
      </c>
      <c r="T43" s="216">
        <v>0</v>
      </c>
      <c r="U43" s="216">
        <v>0</v>
      </c>
      <c r="V43" s="215">
        <v>172525</v>
      </c>
      <c r="W43" s="216">
        <v>172525</v>
      </c>
      <c r="X43" s="216">
        <v>0</v>
      </c>
      <c r="Y43" s="218">
        <v>-21839</v>
      </c>
      <c r="Z43" s="213">
        <v>-21839</v>
      </c>
      <c r="AA43" s="213">
        <v>-21839</v>
      </c>
      <c r="AB43" s="213">
        <v>-21839</v>
      </c>
      <c r="AC43" s="213">
        <v>-21839</v>
      </c>
      <c r="AD43" s="214">
        <v>-63330</v>
      </c>
      <c r="AE43" s="218">
        <v>-21839</v>
      </c>
      <c r="AF43" s="213">
        <v>-21839</v>
      </c>
      <c r="AG43" s="213">
        <v>-21839</v>
      </c>
      <c r="AH43" s="213">
        <v>-21839</v>
      </c>
      <c r="AI43" s="213">
        <v>-21839</v>
      </c>
      <c r="AJ43" s="214">
        <v>-63330</v>
      </c>
      <c r="AK43" s="218">
        <v>0</v>
      </c>
      <c r="AL43" s="213">
        <v>0</v>
      </c>
      <c r="AM43" s="213">
        <v>0</v>
      </c>
      <c r="AN43" s="213">
        <v>0</v>
      </c>
      <c r="AO43" s="213">
        <v>0</v>
      </c>
      <c r="AP43" s="214">
        <v>0</v>
      </c>
      <c r="AQ43" s="215">
        <v>75817</v>
      </c>
      <c r="AR43" s="216">
        <v>75817</v>
      </c>
      <c r="AS43" s="217">
        <v>0</v>
      </c>
      <c r="AT43" s="228">
        <v>2368521</v>
      </c>
      <c r="AU43" s="229">
        <v>1794865</v>
      </c>
      <c r="AV43" s="229">
        <v>2053335</v>
      </c>
      <c r="AW43" s="230">
        <v>2053335</v>
      </c>
      <c r="AX43" s="228">
        <v>2368521</v>
      </c>
      <c r="AY43" s="229">
        <v>1794865</v>
      </c>
      <c r="AZ43" s="229">
        <v>2053335</v>
      </c>
      <c r="BA43" s="230">
        <v>2053335</v>
      </c>
      <c r="BB43" s="228">
        <v>0</v>
      </c>
      <c r="BC43" s="229">
        <v>0</v>
      </c>
      <c r="BD43" s="229">
        <v>0</v>
      </c>
      <c r="BE43" s="230">
        <v>0</v>
      </c>
      <c r="BF43" s="215">
        <v>2206526</v>
      </c>
      <c r="BG43" s="216">
        <v>2206526</v>
      </c>
      <c r="BH43" s="217">
        <v>0</v>
      </c>
      <c r="BI43" s="196">
        <f t="shared" si="0"/>
        <v>0</v>
      </c>
    </row>
    <row r="44" spans="2:61">
      <c r="B44" s="195" t="s">
        <v>274</v>
      </c>
      <c r="C44" s="207">
        <v>3064</v>
      </c>
      <c r="D44" s="208">
        <v>3064</v>
      </c>
      <c r="E44" s="209">
        <v>1</v>
      </c>
      <c r="F44" s="209">
        <v>0</v>
      </c>
      <c r="G44" s="215">
        <v>3064</v>
      </c>
      <c r="H44" s="216">
        <v>3064</v>
      </c>
      <c r="I44" s="217">
        <v>0</v>
      </c>
      <c r="J44" s="215">
        <v>1169</v>
      </c>
      <c r="K44" s="216">
        <v>1169</v>
      </c>
      <c r="L44" s="216">
        <v>0</v>
      </c>
      <c r="M44" s="215">
        <v>0</v>
      </c>
      <c r="N44" s="216">
        <v>0</v>
      </c>
      <c r="O44" s="216">
        <v>0</v>
      </c>
      <c r="P44" s="215">
        <v>0</v>
      </c>
      <c r="Q44" s="216">
        <v>0</v>
      </c>
      <c r="R44" s="216">
        <v>0</v>
      </c>
      <c r="S44" s="215">
        <v>0</v>
      </c>
      <c r="T44" s="216">
        <v>0</v>
      </c>
      <c r="U44" s="216">
        <v>0</v>
      </c>
      <c r="V44" s="215">
        <v>622</v>
      </c>
      <c r="W44" s="216">
        <v>622</v>
      </c>
      <c r="X44" s="216">
        <v>0</v>
      </c>
      <c r="Y44" s="218">
        <v>-81</v>
      </c>
      <c r="Z44" s="213">
        <v>-81</v>
      </c>
      <c r="AA44" s="213">
        <v>-81</v>
      </c>
      <c r="AB44" s="213">
        <v>-81</v>
      </c>
      <c r="AC44" s="213">
        <v>-81</v>
      </c>
      <c r="AD44" s="214">
        <v>-217</v>
      </c>
      <c r="AE44" s="218">
        <v>-81</v>
      </c>
      <c r="AF44" s="213">
        <v>-81</v>
      </c>
      <c r="AG44" s="213">
        <v>-81</v>
      </c>
      <c r="AH44" s="213">
        <v>-81</v>
      </c>
      <c r="AI44" s="213">
        <v>-81</v>
      </c>
      <c r="AJ44" s="214">
        <v>-217</v>
      </c>
      <c r="AK44" s="218">
        <v>0</v>
      </c>
      <c r="AL44" s="213">
        <v>0</v>
      </c>
      <c r="AM44" s="213">
        <v>0</v>
      </c>
      <c r="AN44" s="213">
        <v>0</v>
      </c>
      <c r="AO44" s="213">
        <v>0</v>
      </c>
      <c r="AP44" s="214">
        <v>0</v>
      </c>
      <c r="AQ44" s="215">
        <v>0</v>
      </c>
      <c r="AR44" s="216">
        <v>0</v>
      </c>
      <c r="AS44" s="217">
        <v>0</v>
      </c>
      <c r="AT44" s="228">
        <v>4227</v>
      </c>
      <c r="AU44" s="229">
        <v>2261</v>
      </c>
      <c r="AV44" s="229">
        <v>3064</v>
      </c>
      <c r="AW44" s="230">
        <v>3064</v>
      </c>
      <c r="AX44" s="228">
        <v>4227</v>
      </c>
      <c r="AY44" s="229">
        <v>2261</v>
      </c>
      <c r="AZ44" s="229">
        <v>3064</v>
      </c>
      <c r="BA44" s="230">
        <v>3064</v>
      </c>
      <c r="BB44" s="228">
        <v>0</v>
      </c>
      <c r="BC44" s="229">
        <v>0</v>
      </c>
      <c r="BD44" s="229">
        <v>0</v>
      </c>
      <c r="BE44" s="230">
        <v>0</v>
      </c>
      <c r="BF44" s="215">
        <v>2517</v>
      </c>
      <c r="BG44" s="216">
        <v>2517</v>
      </c>
      <c r="BH44" s="217">
        <v>0</v>
      </c>
      <c r="BI44" s="196">
        <f t="shared" si="0"/>
        <v>0</v>
      </c>
    </row>
    <row r="45" spans="2:61">
      <c r="B45" s="195" t="s">
        <v>275</v>
      </c>
      <c r="C45" s="207">
        <v>886922</v>
      </c>
      <c r="D45" s="208">
        <v>886922</v>
      </c>
      <c r="E45" s="209">
        <v>1</v>
      </c>
      <c r="F45" s="209">
        <v>0</v>
      </c>
      <c r="G45" s="215">
        <v>886922</v>
      </c>
      <c r="H45" s="216">
        <v>886922</v>
      </c>
      <c r="I45" s="217">
        <v>0</v>
      </c>
      <c r="J45" s="215">
        <v>38490</v>
      </c>
      <c r="K45" s="216">
        <v>38490</v>
      </c>
      <c r="L45" s="216">
        <v>0</v>
      </c>
      <c r="M45" s="215">
        <v>0</v>
      </c>
      <c r="N45" s="216">
        <v>0</v>
      </c>
      <c r="O45" s="216">
        <v>0</v>
      </c>
      <c r="P45" s="215">
        <v>0</v>
      </c>
      <c r="Q45" s="216">
        <v>0</v>
      </c>
      <c r="R45" s="216">
        <v>0</v>
      </c>
      <c r="S45" s="215">
        <v>0</v>
      </c>
      <c r="T45" s="216">
        <v>0</v>
      </c>
      <c r="U45" s="216">
        <v>0</v>
      </c>
      <c r="V45" s="215">
        <v>74360</v>
      </c>
      <c r="W45" s="216">
        <v>74360</v>
      </c>
      <c r="X45" s="216">
        <v>0</v>
      </c>
      <c r="Y45" s="218">
        <v>-8450</v>
      </c>
      <c r="Z45" s="213">
        <v>-8450</v>
      </c>
      <c r="AA45" s="213">
        <v>-8450</v>
      </c>
      <c r="AB45" s="213">
        <v>-8450</v>
      </c>
      <c r="AC45" s="213">
        <v>-8450</v>
      </c>
      <c r="AD45" s="214">
        <v>-32110</v>
      </c>
      <c r="AE45" s="218">
        <v>-8450</v>
      </c>
      <c r="AF45" s="213">
        <v>-8450</v>
      </c>
      <c r="AG45" s="213">
        <v>-8450</v>
      </c>
      <c r="AH45" s="213">
        <v>-8450</v>
      </c>
      <c r="AI45" s="213">
        <v>-8450</v>
      </c>
      <c r="AJ45" s="214">
        <v>-32110</v>
      </c>
      <c r="AK45" s="218">
        <v>0</v>
      </c>
      <c r="AL45" s="213">
        <v>0</v>
      </c>
      <c r="AM45" s="213">
        <v>0</v>
      </c>
      <c r="AN45" s="213">
        <v>0</v>
      </c>
      <c r="AO45" s="213">
        <v>0</v>
      </c>
      <c r="AP45" s="214">
        <v>0</v>
      </c>
      <c r="AQ45" s="215">
        <v>37125</v>
      </c>
      <c r="AR45" s="216">
        <v>37125</v>
      </c>
      <c r="AS45" s="217">
        <v>0</v>
      </c>
      <c r="AT45" s="228">
        <v>1021376</v>
      </c>
      <c r="AU45" s="229">
        <v>776799</v>
      </c>
      <c r="AV45" s="229">
        <v>886922</v>
      </c>
      <c r="AW45" s="230">
        <v>886922</v>
      </c>
      <c r="AX45" s="228">
        <v>1021376</v>
      </c>
      <c r="AY45" s="229">
        <v>776799</v>
      </c>
      <c r="AZ45" s="229">
        <v>886922</v>
      </c>
      <c r="BA45" s="230">
        <v>886922</v>
      </c>
      <c r="BB45" s="228">
        <v>0</v>
      </c>
      <c r="BC45" s="229">
        <v>0</v>
      </c>
      <c r="BD45" s="229">
        <v>0</v>
      </c>
      <c r="BE45" s="230">
        <v>0</v>
      </c>
      <c r="BF45" s="215">
        <v>959242</v>
      </c>
      <c r="BG45" s="216">
        <v>959242</v>
      </c>
      <c r="BH45" s="217">
        <v>0</v>
      </c>
      <c r="BI45" s="196">
        <f t="shared" si="0"/>
        <v>0</v>
      </c>
    </row>
    <row r="46" spans="2:61">
      <c r="B46" s="195" t="s">
        <v>276</v>
      </c>
      <c r="C46" s="207">
        <v>1169049</v>
      </c>
      <c r="D46" s="208">
        <v>1169049</v>
      </c>
      <c r="E46" s="209">
        <v>1</v>
      </c>
      <c r="F46" s="209">
        <v>0</v>
      </c>
      <c r="G46" s="215">
        <v>1169049</v>
      </c>
      <c r="H46" s="216">
        <v>1169049</v>
      </c>
      <c r="I46" s="217">
        <v>0</v>
      </c>
      <c r="J46" s="215">
        <v>37876</v>
      </c>
      <c r="K46" s="216">
        <v>37876</v>
      </c>
      <c r="L46" s="216">
        <v>0</v>
      </c>
      <c r="M46" s="215">
        <v>0</v>
      </c>
      <c r="N46" s="216">
        <v>0</v>
      </c>
      <c r="O46" s="216">
        <v>0</v>
      </c>
      <c r="P46" s="215">
        <v>0</v>
      </c>
      <c r="Q46" s="216">
        <v>0</v>
      </c>
      <c r="R46" s="216">
        <v>0</v>
      </c>
      <c r="S46" s="215">
        <v>0</v>
      </c>
      <c r="T46" s="216">
        <v>0</v>
      </c>
      <c r="U46" s="216">
        <v>0</v>
      </c>
      <c r="V46" s="215">
        <v>83009</v>
      </c>
      <c r="W46" s="216">
        <v>83009</v>
      </c>
      <c r="X46" s="216">
        <v>0</v>
      </c>
      <c r="Y46" s="218">
        <v>-14312</v>
      </c>
      <c r="Z46" s="213">
        <v>-14312</v>
      </c>
      <c r="AA46" s="213">
        <v>-14312</v>
      </c>
      <c r="AB46" s="213">
        <v>-14312</v>
      </c>
      <c r="AC46" s="213">
        <v>-14312</v>
      </c>
      <c r="AD46" s="214">
        <v>-11449</v>
      </c>
      <c r="AE46" s="218">
        <v>-14312</v>
      </c>
      <c r="AF46" s="213">
        <v>-14312</v>
      </c>
      <c r="AG46" s="213">
        <v>-14312</v>
      </c>
      <c r="AH46" s="213">
        <v>-14312</v>
      </c>
      <c r="AI46" s="213">
        <v>-14312</v>
      </c>
      <c r="AJ46" s="214">
        <v>-11449</v>
      </c>
      <c r="AK46" s="218">
        <v>0</v>
      </c>
      <c r="AL46" s="213">
        <v>0</v>
      </c>
      <c r="AM46" s="213">
        <v>0</v>
      </c>
      <c r="AN46" s="213">
        <v>0</v>
      </c>
      <c r="AO46" s="213">
        <v>0</v>
      </c>
      <c r="AP46" s="214">
        <v>0</v>
      </c>
      <c r="AQ46" s="215">
        <v>56944</v>
      </c>
      <c r="AR46" s="216">
        <v>56944</v>
      </c>
      <c r="AS46" s="217">
        <v>0</v>
      </c>
      <c r="AT46" s="228">
        <v>1326260</v>
      </c>
      <c r="AU46" s="229">
        <v>1038795</v>
      </c>
      <c r="AV46" s="229">
        <v>1169049</v>
      </c>
      <c r="AW46" s="230">
        <v>1169049</v>
      </c>
      <c r="AX46" s="228">
        <v>1326260</v>
      </c>
      <c r="AY46" s="229">
        <v>1038795</v>
      </c>
      <c r="AZ46" s="229">
        <v>1169049</v>
      </c>
      <c r="BA46" s="230">
        <v>1169049</v>
      </c>
      <c r="BB46" s="228">
        <v>0</v>
      </c>
      <c r="BC46" s="229">
        <v>0</v>
      </c>
      <c r="BD46" s="229">
        <v>0</v>
      </c>
      <c r="BE46" s="230">
        <v>0</v>
      </c>
      <c r="BF46" s="215">
        <v>1271032</v>
      </c>
      <c r="BG46" s="216">
        <v>1271032</v>
      </c>
      <c r="BH46" s="217">
        <v>0</v>
      </c>
      <c r="BI46" s="196">
        <f t="shared" si="0"/>
        <v>0</v>
      </c>
    </row>
    <row r="47" spans="2:61">
      <c r="B47" s="195" t="s">
        <v>277</v>
      </c>
      <c r="C47" s="207">
        <v>638151</v>
      </c>
      <c r="D47" s="208">
        <v>638151</v>
      </c>
      <c r="E47" s="209">
        <v>1</v>
      </c>
      <c r="F47" s="209">
        <v>0</v>
      </c>
      <c r="G47" s="215">
        <v>638151</v>
      </c>
      <c r="H47" s="216">
        <v>638151</v>
      </c>
      <c r="I47" s="217">
        <v>0</v>
      </c>
      <c r="J47" s="215">
        <v>30090</v>
      </c>
      <c r="K47" s="216">
        <v>30090</v>
      </c>
      <c r="L47" s="216">
        <v>0</v>
      </c>
      <c r="M47" s="215">
        <v>0</v>
      </c>
      <c r="N47" s="216">
        <v>0</v>
      </c>
      <c r="O47" s="216">
        <v>0</v>
      </c>
      <c r="P47" s="215">
        <v>0</v>
      </c>
      <c r="Q47" s="216">
        <v>0</v>
      </c>
      <c r="R47" s="216">
        <v>0</v>
      </c>
      <c r="S47" s="215">
        <v>0</v>
      </c>
      <c r="T47" s="216">
        <v>0</v>
      </c>
      <c r="U47" s="216">
        <v>0</v>
      </c>
      <c r="V47" s="215">
        <v>53371</v>
      </c>
      <c r="W47" s="216">
        <v>53371</v>
      </c>
      <c r="X47" s="216">
        <v>0</v>
      </c>
      <c r="Y47" s="218">
        <v>-5930</v>
      </c>
      <c r="Z47" s="213">
        <v>-5930</v>
      </c>
      <c r="AA47" s="213">
        <v>-5930</v>
      </c>
      <c r="AB47" s="213">
        <v>-5930</v>
      </c>
      <c r="AC47" s="213">
        <v>-5930</v>
      </c>
      <c r="AD47" s="214">
        <v>-23721</v>
      </c>
      <c r="AE47" s="218">
        <v>-5930</v>
      </c>
      <c r="AF47" s="213">
        <v>-5930</v>
      </c>
      <c r="AG47" s="213">
        <v>-5930</v>
      </c>
      <c r="AH47" s="213">
        <v>-5930</v>
      </c>
      <c r="AI47" s="213">
        <v>-5930</v>
      </c>
      <c r="AJ47" s="214">
        <v>-23721</v>
      </c>
      <c r="AK47" s="218">
        <v>0</v>
      </c>
      <c r="AL47" s="213">
        <v>0</v>
      </c>
      <c r="AM47" s="213">
        <v>0</v>
      </c>
      <c r="AN47" s="213">
        <v>0</v>
      </c>
      <c r="AO47" s="213">
        <v>0</v>
      </c>
      <c r="AP47" s="214">
        <v>0</v>
      </c>
      <c r="AQ47" s="215">
        <v>25970</v>
      </c>
      <c r="AR47" s="216">
        <v>25970</v>
      </c>
      <c r="AS47" s="217">
        <v>0</v>
      </c>
      <c r="AT47" s="228">
        <v>734418</v>
      </c>
      <c r="AU47" s="229">
        <v>558969</v>
      </c>
      <c r="AV47" s="229">
        <v>638151</v>
      </c>
      <c r="AW47" s="230">
        <v>638151</v>
      </c>
      <c r="AX47" s="228">
        <v>734418</v>
      </c>
      <c r="AY47" s="229">
        <v>558969</v>
      </c>
      <c r="AZ47" s="229">
        <v>638151</v>
      </c>
      <c r="BA47" s="230">
        <v>638151</v>
      </c>
      <c r="BB47" s="228">
        <v>0</v>
      </c>
      <c r="BC47" s="229">
        <v>0</v>
      </c>
      <c r="BD47" s="229">
        <v>0</v>
      </c>
      <c r="BE47" s="230">
        <v>0</v>
      </c>
      <c r="BF47" s="215">
        <v>686932</v>
      </c>
      <c r="BG47" s="216">
        <v>686932</v>
      </c>
      <c r="BH47" s="217">
        <v>0</v>
      </c>
      <c r="BI47" s="196">
        <f t="shared" si="0"/>
        <v>0</v>
      </c>
    </row>
    <row r="48" spans="2:61">
      <c r="B48" s="195" t="s">
        <v>278</v>
      </c>
      <c r="C48" s="207">
        <v>69734</v>
      </c>
      <c r="D48" s="208">
        <v>69734</v>
      </c>
      <c r="E48" s="209">
        <v>1</v>
      </c>
      <c r="F48" s="209">
        <v>0</v>
      </c>
      <c r="G48" s="215">
        <v>69734</v>
      </c>
      <c r="H48" s="216">
        <v>69734</v>
      </c>
      <c r="I48" s="217">
        <v>0</v>
      </c>
      <c r="J48" s="215">
        <v>3592</v>
      </c>
      <c r="K48" s="216">
        <v>3592</v>
      </c>
      <c r="L48" s="216">
        <v>0</v>
      </c>
      <c r="M48" s="215">
        <v>0</v>
      </c>
      <c r="N48" s="216">
        <v>0</v>
      </c>
      <c r="O48" s="216">
        <v>0</v>
      </c>
      <c r="P48" s="215">
        <v>0</v>
      </c>
      <c r="Q48" s="216">
        <v>0</v>
      </c>
      <c r="R48" s="216">
        <v>0</v>
      </c>
      <c r="S48" s="215">
        <v>0</v>
      </c>
      <c r="T48" s="216">
        <v>0</v>
      </c>
      <c r="U48" s="216">
        <v>0</v>
      </c>
      <c r="V48" s="215">
        <v>5555</v>
      </c>
      <c r="W48" s="216">
        <v>5555</v>
      </c>
      <c r="X48" s="216">
        <v>0</v>
      </c>
      <c r="Y48" s="218">
        <v>-610</v>
      </c>
      <c r="Z48" s="213">
        <v>-610</v>
      </c>
      <c r="AA48" s="213">
        <v>-610</v>
      </c>
      <c r="AB48" s="213">
        <v>-610</v>
      </c>
      <c r="AC48" s="213">
        <v>-610</v>
      </c>
      <c r="AD48" s="214">
        <v>-2505</v>
      </c>
      <c r="AE48" s="218">
        <v>-610</v>
      </c>
      <c r="AF48" s="213">
        <v>-610</v>
      </c>
      <c r="AG48" s="213">
        <v>-610</v>
      </c>
      <c r="AH48" s="213">
        <v>-610</v>
      </c>
      <c r="AI48" s="213">
        <v>-610</v>
      </c>
      <c r="AJ48" s="214">
        <v>-2505</v>
      </c>
      <c r="AK48" s="218">
        <v>0</v>
      </c>
      <c r="AL48" s="213">
        <v>0</v>
      </c>
      <c r="AM48" s="213">
        <v>0</v>
      </c>
      <c r="AN48" s="213">
        <v>0</v>
      </c>
      <c r="AO48" s="213">
        <v>0</v>
      </c>
      <c r="AP48" s="214">
        <v>0</v>
      </c>
      <c r="AQ48" s="215">
        <v>2853</v>
      </c>
      <c r="AR48" s="216">
        <v>2853</v>
      </c>
      <c r="AS48" s="217">
        <v>0</v>
      </c>
      <c r="AT48" s="228">
        <v>79797</v>
      </c>
      <c r="AU48" s="229">
        <v>61424</v>
      </c>
      <c r="AV48" s="229">
        <v>69734</v>
      </c>
      <c r="AW48" s="230">
        <v>69734</v>
      </c>
      <c r="AX48" s="228">
        <v>79797</v>
      </c>
      <c r="AY48" s="229">
        <v>61424</v>
      </c>
      <c r="AZ48" s="229">
        <v>69734</v>
      </c>
      <c r="BA48" s="230">
        <v>69734</v>
      </c>
      <c r="BB48" s="228">
        <v>0</v>
      </c>
      <c r="BC48" s="229">
        <v>0</v>
      </c>
      <c r="BD48" s="229">
        <v>0</v>
      </c>
      <c r="BE48" s="230">
        <v>0</v>
      </c>
      <c r="BF48" s="215">
        <v>74547</v>
      </c>
      <c r="BG48" s="216">
        <v>74547</v>
      </c>
      <c r="BH48" s="217">
        <v>0</v>
      </c>
      <c r="BI48" s="196">
        <f t="shared" si="0"/>
        <v>0</v>
      </c>
    </row>
    <row r="49" spans="2:61">
      <c r="B49" s="195" t="s">
        <v>279</v>
      </c>
      <c r="C49" s="207">
        <v>633371</v>
      </c>
      <c r="D49" s="208">
        <v>633371</v>
      </c>
      <c r="E49" s="209">
        <v>1</v>
      </c>
      <c r="F49" s="209">
        <v>0</v>
      </c>
      <c r="G49" s="215">
        <v>633371</v>
      </c>
      <c r="H49" s="216">
        <v>633371</v>
      </c>
      <c r="I49" s="217">
        <v>0</v>
      </c>
      <c r="J49" s="215">
        <v>32411</v>
      </c>
      <c r="K49" s="216">
        <v>32411</v>
      </c>
      <c r="L49" s="216">
        <v>0</v>
      </c>
      <c r="M49" s="215">
        <v>0</v>
      </c>
      <c r="N49" s="216">
        <v>0</v>
      </c>
      <c r="O49" s="216">
        <v>0</v>
      </c>
      <c r="P49" s="215">
        <v>0</v>
      </c>
      <c r="Q49" s="216">
        <v>0</v>
      </c>
      <c r="R49" s="216">
        <v>0</v>
      </c>
      <c r="S49" s="215">
        <v>0</v>
      </c>
      <c r="T49" s="216">
        <v>0</v>
      </c>
      <c r="U49" s="216">
        <v>0</v>
      </c>
      <c r="V49" s="215">
        <v>50022</v>
      </c>
      <c r="W49" s="216">
        <v>50022</v>
      </c>
      <c r="X49" s="216">
        <v>0</v>
      </c>
      <c r="Y49" s="218">
        <v>-6253</v>
      </c>
      <c r="Z49" s="213">
        <v>-6253</v>
      </c>
      <c r="AA49" s="213">
        <v>-6253</v>
      </c>
      <c r="AB49" s="213">
        <v>-6253</v>
      </c>
      <c r="AC49" s="213">
        <v>-6253</v>
      </c>
      <c r="AD49" s="214">
        <v>-18757</v>
      </c>
      <c r="AE49" s="218">
        <v>-6253</v>
      </c>
      <c r="AF49" s="213">
        <v>-6253</v>
      </c>
      <c r="AG49" s="213">
        <v>-6253</v>
      </c>
      <c r="AH49" s="213">
        <v>-6253</v>
      </c>
      <c r="AI49" s="213">
        <v>-6253</v>
      </c>
      <c r="AJ49" s="214">
        <v>-18757</v>
      </c>
      <c r="AK49" s="218">
        <v>0</v>
      </c>
      <c r="AL49" s="213">
        <v>0</v>
      </c>
      <c r="AM49" s="213">
        <v>0</v>
      </c>
      <c r="AN49" s="213">
        <v>0</v>
      </c>
      <c r="AO49" s="213">
        <v>0</v>
      </c>
      <c r="AP49" s="214">
        <v>0</v>
      </c>
      <c r="AQ49" s="215">
        <v>29055</v>
      </c>
      <c r="AR49" s="216">
        <v>29055</v>
      </c>
      <c r="AS49" s="217">
        <v>0</v>
      </c>
      <c r="AT49" s="228">
        <v>724572</v>
      </c>
      <c r="AU49" s="229">
        <v>558125</v>
      </c>
      <c r="AV49" s="229">
        <v>633371</v>
      </c>
      <c r="AW49" s="230">
        <v>633371</v>
      </c>
      <c r="AX49" s="228">
        <v>724572</v>
      </c>
      <c r="AY49" s="229">
        <v>558125</v>
      </c>
      <c r="AZ49" s="229">
        <v>633371</v>
      </c>
      <c r="BA49" s="230">
        <v>633371</v>
      </c>
      <c r="BB49" s="228">
        <v>0</v>
      </c>
      <c r="BC49" s="229">
        <v>0</v>
      </c>
      <c r="BD49" s="229">
        <v>0</v>
      </c>
      <c r="BE49" s="230">
        <v>0</v>
      </c>
      <c r="BF49" s="215">
        <v>679182</v>
      </c>
      <c r="BG49" s="216">
        <v>679182</v>
      </c>
      <c r="BH49" s="217">
        <v>0</v>
      </c>
      <c r="BI49" s="196">
        <f t="shared" si="0"/>
        <v>0</v>
      </c>
    </row>
    <row r="50" spans="2:61">
      <c r="B50" s="195" t="s">
        <v>280</v>
      </c>
      <c r="C50" s="207">
        <v>341494</v>
      </c>
      <c r="D50" s="208">
        <v>341494</v>
      </c>
      <c r="E50" s="209">
        <v>1</v>
      </c>
      <c r="F50" s="209">
        <v>0</v>
      </c>
      <c r="G50" s="215">
        <v>341494</v>
      </c>
      <c r="H50" s="216">
        <v>341494</v>
      </c>
      <c r="I50" s="217">
        <v>0</v>
      </c>
      <c r="J50" s="215">
        <v>15916</v>
      </c>
      <c r="K50" s="216">
        <v>15916</v>
      </c>
      <c r="L50" s="216">
        <v>0</v>
      </c>
      <c r="M50" s="215">
        <v>0</v>
      </c>
      <c r="N50" s="216">
        <v>0</v>
      </c>
      <c r="O50" s="216">
        <v>0</v>
      </c>
      <c r="P50" s="215">
        <v>0</v>
      </c>
      <c r="Q50" s="216">
        <v>0</v>
      </c>
      <c r="R50" s="216">
        <v>0</v>
      </c>
      <c r="S50" s="215">
        <v>0</v>
      </c>
      <c r="T50" s="216">
        <v>0</v>
      </c>
      <c r="U50" s="216">
        <v>0</v>
      </c>
      <c r="V50" s="215">
        <v>28804</v>
      </c>
      <c r="W50" s="216">
        <v>28804</v>
      </c>
      <c r="X50" s="216">
        <v>0</v>
      </c>
      <c r="Y50" s="218">
        <v>-3236</v>
      </c>
      <c r="Z50" s="213">
        <v>-3236</v>
      </c>
      <c r="AA50" s="213">
        <v>-3236</v>
      </c>
      <c r="AB50" s="213">
        <v>-3236</v>
      </c>
      <c r="AC50" s="213">
        <v>-3236</v>
      </c>
      <c r="AD50" s="214">
        <v>-12624</v>
      </c>
      <c r="AE50" s="218">
        <v>-3236</v>
      </c>
      <c r="AF50" s="213">
        <v>-3236</v>
      </c>
      <c r="AG50" s="213">
        <v>-3236</v>
      </c>
      <c r="AH50" s="213">
        <v>-3236</v>
      </c>
      <c r="AI50" s="213">
        <v>-3236</v>
      </c>
      <c r="AJ50" s="214">
        <v>-12624</v>
      </c>
      <c r="AK50" s="218">
        <v>0</v>
      </c>
      <c r="AL50" s="213">
        <v>0</v>
      </c>
      <c r="AM50" s="213">
        <v>0</v>
      </c>
      <c r="AN50" s="213">
        <v>0</v>
      </c>
      <c r="AO50" s="213">
        <v>0</v>
      </c>
      <c r="AP50" s="214">
        <v>0</v>
      </c>
      <c r="AQ50" s="215">
        <v>13034</v>
      </c>
      <c r="AR50" s="216">
        <v>13034</v>
      </c>
      <c r="AS50" s="217">
        <v>0</v>
      </c>
      <c r="AT50" s="228">
        <v>393235</v>
      </c>
      <c r="AU50" s="229">
        <v>299036</v>
      </c>
      <c r="AV50" s="229">
        <v>341494</v>
      </c>
      <c r="AW50" s="230">
        <v>341494</v>
      </c>
      <c r="AX50" s="228">
        <v>393235</v>
      </c>
      <c r="AY50" s="229">
        <v>299036</v>
      </c>
      <c r="AZ50" s="229">
        <v>341494</v>
      </c>
      <c r="BA50" s="230">
        <v>341494</v>
      </c>
      <c r="BB50" s="228">
        <v>0</v>
      </c>
      <c r="BC50" s="229">
        <v>0</v>
      </c>
      <c r="BD50" s="229">
        <v>0</v>
      </c>
      <c r="BE50" s="230">
        <v>0</v>
      </c>
      <c r="BF50" s="215">
        <v>367132</v>
      </c>
      <c r="BG50" s="216">
        <v>367132</v>
      </c>
      <c r="BH50" s="217">
        <v>0</v>
      </c>
      <c r="BI50" s="196">
        <f t="shared" si="0"/>
        <v>0</v>
      </c>
    </row>
    <row r="51" spans="2:61">
      <c r="B51" s="195" t="s">
        <v>281</v>
      </c>
      <c r="C51" s="207">
        <v>844013</v>
      </c>
      <c r="D51" s="208">
        <v>844013</v>
      </c>
      <c r="E51" s="209">
        <v>1</v>
      </c>
      <c r="F51" s="209">
        <v>0</v>
      </c>
      <c r="G51" s="215">
        <v>844013</v>
      </c>
      <c r="H51" s="216">
        <v>844013</v>
      </c>
      <c r="I51" s="217">
        <v>0</v>
      </c>
      <c r="J51" s="215">
        <v>29450</v>
      </c>
      <c r="K51" s="216">
        <v>29450</v>
      </c>
      <c r="L51" s="216">
        <v>0</v>
      </c>
      <c r="M51" s="215">
        <v>0</v>
      </c>
      <c r="N51" s="216">
        <v>0</v>
      </c>
      <c r="O51" s="216">
        <v>0</v>
      </c>
      <c r="P51" s="215">
        <v>0</v>
      </c>
      <c r="Q51" s="216">
        <v>0</v>
      </c>
      <c r="R51" s="216">
        <v>0</v>
      </c>
      <c r="S51" s="215">
        <v>0</v>
      </c>
      <c r="T51" s="216">
        <v>0</v>
      </c>
      <c r="U51" s="216">
        <v>0</v>
      </c>
      <c r="V51" s="215">
        <v>60400</v>
      </c>
      <c r="W51" s="216">
        <v>60400</v>
      </c>
      <c r="X51" s="216">
        <v>0</v>
      </c>
      <c r="Y51" s="218">
        <v>-9151</v>
      </c>
      <c r="Z51" s="213">
        <v>-9151</v>
      </c>
      <c r="AA51" s="213">
        <v>-9151</v>
      </c>
      <c r="AB51" s="213">
        <v>-9151</v>
      </c>
      <c r="AC51" s="213">
        <v>-9151</v>
      </c>
      <c r="AD51" s="214">
        <v>-14645</v>
      </c>
      <c r="AE51" s="218">
        <v>-9151</v>
      </c>
      <c r="AF51" s="213">
        <v>-9151</v>
      </c>
      <c r="AG51" s="213">
        <v>-9151</v>
      </c>
      <c r="AH51" s="213">
        <v>-9151</v>
      </c>
      <c r="AI51" s="213">
        <v>-9151</v>
      </c>
      <c r="AJ51" s="214">
        <v>-14645</v>
      </c>
      <c r="AK51" s="218">
        <v>0</v>
      </c>
      <c r="AL51" s="213">
        <v>0</v>
      </c>
      <c r="AM51" s="213">
        <v>0</v>
      </c>
      <c r="AN51" s="213">
        <v>0</v>
      </c>
      <c r="AO51" s="213">
        <v>0</v>
      </c>
      <c r="AP51" s="214">
        <v>0</v>
      </c>
      <c r="AQ51" s="215">
        <v>41041</v>
      </c>
      <c r="AR51" s="216">
        <v>41041</v>
      </c>
      <c r="AS51" s="217">
        <v>0</v>
      </c>
      <c r="AT51" s="228">
        <v>956437</v>
      </c>
      <c r="AU51" s="229">
        <v>750733</v>
      </c>
      <c r="AV51" s="229">
        <v>844013</v>
      </c>
      <c r="AW51" s="230">
        <v>844013</v>
      </c>
      <c r="AX51" s="228">
        <v>956437</v>
      </c>
      <c r="AY51" s="229">
        <v>750733</v>
      </c>
      <c r="AZ51" s="229">
        <v>844013</v>
      </c>
      <c r="BA51" s="230">
        <v>844013</v>
      </c>
      <c r="BB51" s="228">
        <v>0</v>
      </c>
      <c r="BC51" s="229">
        <v>0</v>
      </c>
      <c r="BD51" s="229">
        <v>0</v>
      </c>
      <c r="BE51" s="230">
        <v>0</v>
      </c>
      <c r="BF51" s="215">
        <v>914863</v>
      </c>
      <c r="BG51" s="216">
        <v>914863</v>
      </c>
      <c r="BH51" s="217">
        <v>0</v>
      </c>
      <c r="BI51" s="196">
        <f t="shared" si="0"/>
        <v>0</v>
      </c>
    </row>
    <row r="52" spans="2:61">
      <c r="B52" s="195" t="s">
        <v>282</v>
      </c>
      <c r="C52" s="207">
        <v>1508233</v>
      </c>
      <c r="D52" s="208">
        <v>1508233</v>
      </c>
      <c r="E52" s="209">
        <v>1</v>
      </c>
      <c r="F52" s="209">
        <v>0</v>
      </c>
      <c r="G52" s="215">
        <v>1508233</v>
      </c>
      <c r="H52" s="216">
        <v>1508233</v>
      </c>
      <c r="I52" s="217">
        <v>0</v>
      </c>
      <c r="J52" s="215">
        <v>63779</v>
      </c>
      <c r="K52" s="216">
        <v>63779</v>
      </c>
      <c r="L52" s="216">
        <v>0</v>
      </c>
      <c r="M52" s="215">
        <v>0</v>
      </c>
      <c r="N52" s="216">
        <v>0</v>
      </c>
      <c r="O52" s="216">
        <v>0</v>
      </c>
      <c r="P52" s="215">
        <v>0</v>
      </c>
      <c r="Q52" s="216">
        <v>0</v>
      </c>
      <c r="R52" s="216">
        <v>0</v>
      </c>
      <c r="S52" s="215">
        <v>0</v>
      </c>
      <c r="T52" s="216">
        <v>0</v>
      </c>
      <c r="U52" s="216">
        <v>0</v>
      </c>
      <c r="V52" s="215">
        <v>116229</v>
      </c>
      <c r="W52" s="216">
        <v>116229</v>
      </c>
      <c r="X52" s="216">
        <v>0</v>
      </c>
      <c r="Y52" s="218">
        <v>-17092</v>
      </c>
      <c r="Z52" s="213">
        <v>-17092</v>
      </c>
      <c r="AA52" s="213">
        <v>-17092</v>
      </c>
      <c r="AB52" s="213">
        <v>-17092</v>
      </c>
      <c r="AC52" s="213">
        <v>-17092</v>
      </c>
      <c r="AD52" s="214">
        <v>-30769</v>
      </c>
      <c r="AE52" s="218">
        <v>-17092</v>
      </c>
      <c r="AF52" s="213">
        <v>-17092</v>
      </c>
      <c r="AG52" s="213">
        <v>-17092</v>
      </c>
      <c r="AH52" s="213">
        <v>-17092</v>
      </c>
      <c r="AI52" s="213">
        <v>-17092</v>
      </c>
      <c r="AJ52" s="214">
        <v>-30769</v>
      </c>
      <c r="AK52" s="218">
        <v>0</v>
      </c>
      <c r="AL52" s="213">
        <v>0</v>
      </c>
      <c r="AM52" s="213">
        <v>0</v>
      </c>
      <c r="AN52" s="213">
        <v>0</v>
      </c>
      <c r="AO52" s="213">
        <v>0</v>
      </c>
      <c r="AP52" s="214">
        <v>0</v>
      </c>
      <c r="AQ52" s="215">
        <v>65075</v>
      </c>
      <c r="AR52" s="216">
        <v>65075</v>
      </c>
      <c r="AS52" s="217">
        <v>0</v>
      </c>
      <c r="AT52" s="228">
        <v>1723997</v>
      </c>
      <c r="AU52" s="229">
        <v>1329803</v>
      </c>
      <c r="AV52" s="229">
        <v>1508233</v>
      </c>
      <c r="AW52" s="230">
        <v>1508233</v>
      </c>
      <c r="AX52" s="228">
        <v>1723997</v>
      </c>
      <c r="AY52" s="229">
        <v>1329803</v>
      </c>
      <c r="AZ52" s="229">
        <v>1508233</v>
      </c>
      <c r="BA52" s="230">
        <v>1508233</v>
      </c>
      <c r="BB52" s="228">
        <v>0</v>
      </c>
      <c r="BC52" s="229">
        <v>0</v>
      </c>
      <c r="BD52" s="229">
        <v>0</v>
      </c>
      <c r="BE52" s="230">
        <v>0</v>
      </c>
      <c r="BF52" s="215">
        <v>1625033</v>
      </c>
      <c r="BG52" s="216">
        <v>1625033</v>
      </c>
      <c r="BH52" s="217">
        <v>0</v>
      </c>
      <c r="BI52" s="196">
        <f t="shared" si="0"/>
        <v>0</v>
      </c>
    </row>
    <row r="53" spans="2:61">
      <c r="B53" s="195" t="s">
        <v>283</v>
      </c>
      <c r="C53" s="207">
        <v>1139777</v>
      </c>
      <c r="D53" s="208">
        <v>1139777</v>
      </c>
      <c r="E53" s="209">
        <v>1</v>
      </c>
      <c r="F53" s="209">
        <v>0</v>
      </c>
      <c r="G53" s="215">
        <v>1139777</v>
      </c>
      <c r="H53" s="216">
        <v>1139777</v>
      </c>
      <c r="I53" s="217">
        <v>0</v>
      </c>
      <c r="J53" s="215">
        <v>50214</v>
      </c>
      <c r="K53" s="216">
        <v>50214</v>
      </c>
      <c r="L53" s="216">
        <v>0</v>
      </c>
      <c r="M53" s="215">
        <v>0</v>
      </c>
      <c r="N53" s="216">
        <v>0</v>
      </c>
      <c r="O53" s="216">
        <v>0</v>
      </c>
      <c r="P53" s="215">
        <v>0</v>
      </c>
      <c r="Q53" s="216">
        <v>0</v>
      </c>
      <c r="R53" s="216">
        <v>0</v>
      </c>
      <c r="S53" s="215">
        <v>0</v>
      </c>
      <c r="T53" s="216">
        <v>0</v>
      </c>
      <c r="U53" s="216">
        <v>0</v>
      </c>
      <c r="V53" s="215">
        <v>94907</v>
      </c>
      <c r="W53" s="216">
        <v>94907</v>
      </c>
      <c r="X53" s="216">
        <v>0</v>
      </c>
      <c r="Y53" s="218">
        <v>-11165</v>
      </c>
      <c r="Z53" s="213">
        <v>-11165</v>
      </c>
      <c r="AA53" s="213">
        <v>-11165</v>
      </c>
      <c r="AB53" s="213">
        <v>-11165</v>
      </c>
      <c r="AC53" s="213">
        <v>-11165</v>
      </c>
      <c r="AD53" s="214">
        <v>-39082</v>
      </c>
      <c r="AE53" s="218">
        <v>-11165</v>
      </c>
      <c r="AF53" s="213">
        <v>-11165</v>
      </c>
      <c r="AG53" s="213">
        <v>-11165</v>
      </c>
      <c r="AH53" s="213">
        <v>-11165</v>
      </c>
      <c r="AI53" s="213">
        <v>-11165</v>
      </c>
      <c r="AJ53" s="214">
        <v>-39082</v>
      </c>
      <c r="AK53" s="218">
        <v>0</v>
      </c>
      <c r="AL53" s="213">
        <v>0</v>
      </c>
      <c r="AM53" s="213">
        <v>0</v>
      </c>
      <c r="AN53" s="213">
        <v>0</v>
      </c>
      <c r="AO53" s="213">
        <v>0</v>
      </c>
      <c r="AP53" s="214">
        <v>0</v>
      </c>
      <c r="AQ53" s="215">
        <v>40614</v>
      </c>
      <c r="AR53" s="216">
        <v>40614</v>
      </c>
      <c r="AS53" s="217">
        <v>0</v>
      </c>
      <c r="AT53" s="228">
        <v>1311928</v>
      </c>
      <c r="AU53" s="229">
        <v>999004</v>
      </c>
      <c r="AV53" s="229">
        <v>1139777</v>
      </c>
      <c r="AW53" s="230">
        <v>1139777</v>
      </c>
      <c r="AX53" s="228">
        <v>1311928</v>
      </c>
      <c r="AY53" s="229">
        <v>999004</v>
      </c>
      <c r="AZ53" s="229">
        <v>1139777</v>
      </c>
      <c r="BA53" s="230">
        <v>1139777</v>
      </c>
      <c r="BB53" s="228">
        <v>0</v>
      </c>
      <c r="BC53" s="229">
        <v>0</v>
      </c>
      <c r="BD53" s="229">
        <v>0</v>
      </c>
      <c r="BE53" s="230">
        <v>0</v>
      </c>
      <c r="BF53" s="215">
        <v>1223470</v>
      </c>
      <c r="BG53" s="216">
        <v>1223470</v>
      </c>
      <c r="BH53" s="217">
        <v>0</v>
      </c>
      <c r="BI53" s="196">
        <f t="shared" si="0"/>
        <v>0</v>
      </c>
    </row>
    <row r="54" spans="2:61">
      <c r="B54" s="195" t="s">
        <v>284</v>
      </c>
      <c r="C54" s="207">
        <v>9485</v>
      </c>
      <c r="D54" s="208">
        <v>9485</v>
      </c>
      <c r="E54" s="209">
        <v>1</v>
      </c>
      <c r="F54" s="209">
        <v>0</v>
      </c>
      <c r="G54" s="215">
        <v>9485</v>
      </c>
      <c r="H54" s="216">
        <v>9485</v>
      </c>
      <c r="I54" s="217">
        <v>0</v>
      </c>
      <c r="J54" s="215">
        <v>1731</v>
      </c>
      <c r="K54" s="216">
        <v>1731</v>
      </c>
      <c r="L54" s="216">
        <v>0</v>
      </c>
      <c r="M54" s="215">
        <v>0</v>
      </c>
      <c r="N54" s="216">
        <v>0</v>
      </c>
      <c r="O54" s="216">
        <v>0</v>
      </c>
      <c r="P54" s="215">
        <v>0</v>
      </c>
      <c r="Q54" s="216">
        <v>0</v>
      </c>
      <c r="R54" s="216">
        <v>0</v>
      </c>
      <c r="S54" s="215">
        <v>0</v>
      </c>
      <c r="T54" s="216">
        <v>0</v>
      </c>
      <c r="U54" s="216">
        <v>0</v>
      </c>
      <c r="V54" s="215">
        <v>1484</v>
      </c>
      <c r="W54" s="216">
        <v>1484</v>
      </c>
      <c r="X54" s="216">
        <v>0</v>
      </c>
      <c r="Y54" s="218">
        <v>-105</v>
      </c>
      <c r="Z54" s="213">
        <v>-105</v>
      </c>
      <c r="AA54" s="213">
        <v>-105</v>
      </c>
      <c r="AB54" s="213">
        <v>-105</v>
      </c>
      <c r="AC54" s="213">
        <v>-105</v>
      </c>
      <c r="AD54" s="214">
        <v>-959</v>
      </c>
      <c r="AE54" s="218">
        <v>-105</v>
      </c>
      <c r="AF54" s="213">
        <v>-105</v>
      </c>
      <c r="AG54" s="213">
        <v>-105</v>
      </c>
      <c r="AH54" s="213">
        <v>-105</v>
      </c>
      <c r="AI54" s="213">
        <v>-105</v>
      </c>
      <c r="AJ54" s="214">
        <v>-959</v>
      </c>
      <c r="AK54" s="218">
        <v>0</v>
      </c>
      <c r="AL54" s="213">
        <v>0</v>
      </c>
      <c r="AM54" s="213">
        <v>0</v>
      </c>
      <c r="AN54" s="213">
        <v>0</v>
      </c>
      <c r="AO54" s="213">
        <v>0</v>
      </c>
      <c r="AP54" s="214">
        <v>0</v>
      </c>
      <c r="AQ54" s="215">
        <v>0</v>
      </c>
      <c r="AR54" s="216">
        <v>0</v>
      </c>
      <c r="AS54" s="217">
        <v>0</v>
      </c>
      <c r="AT54" s="228">
        <v>12163</v>
      </c>
      <c r="AU54" s="229">
        <v>7358</v>
      </c>
      <c r="AV54" s="229">
        <v>9485</v>
      </c>
      <c r="AW54" s="230">
        <v>9485</v>
      </c>
      <c r="AX54" s="228">
        <v>12163</v>
      </c>
      <c r="AY54" s="229">
        <v>7358</v>
      </c>
      <c r="AZ54" s="229">
        <v>9485</v>
      </c>
      <c r="BA54" s="230">
        <v>9485</v>
      </c>
      <c r="BB54" s="228">
        <v>0</v>
      </c>
      <c r="BC54" s="229">
        <v>0</v>
      </c>
      <c r="BD54" s="229">
        <v>0</v>
      </c>
      <c r="BE54" s="230">
        <v>0</v>
      </c>
      <c r="BF54" s="215">
        <v>9238</v>
      </c>
      <c r="BG54" s="216">
        <v>9238</v>
      </c>
      <c r="BH54" s="217">
        <v>0</v>
      </c>
      <c r="BI54" s="196">
        <f t="shared" si="0"/>
        <v>0</v>
      </c>
    </row>
    <row r="55" spans="2:61">
      <c r="B55" s="195" t="s">
        <v>451</v>
      </c>
      <c r="C55" s="207">
        <v>3480</v>
      </c>
      <c r="D55" s="208">
        <v>3480</v>
      </c>
      <c r="E55" s="209">
        <v>1</v>
      </c>
      <c r="F55" s="209">
        <v>0</v>
      </c>
      <c r="G55" s="215">
        <v>3480</v>
      </c>
      <c r="H55" s="216">
        <v>3480</v>
      </c>
      <c r="I55" s="217">
        <v>0</v>
      </c>
      <c r="J55" s="215">
        <v>1073</v>
      </c>
      <c r="K55" s="216">
        <v>1073</v>
      </c>
      <c r="L55" s="216">
        <v>0</v>
      </c>
      <c r="M55" s="215">
        <v>0</v>
      </c>
      <c r="N55" s="216">
        <v>0</v>
      </c>
      <c r="O55" s="216">
        <v>0</v>
      </c>
      <c r="P55" s="215">
        <v>0</v>
      </c>
      <c r="Q55" s="216">
        <v>0</v>
      </c>
      <c r="R55" s="216">
        <v>0</v>
      </c>
      <c r="S55" s="215">
        <v>0</v>
      </c>
      <c r="T55" s="216">
        <v>0</v>
      </c>
      <c r="U55" s="216">
        <v>0</v>
      </c>
      <c r="V55" s="215">
        <v>763</v>
      </c>
      <c r="W55" s="216">
        <v>763</v>
      </c>
      <c r="X55" s="216">
        <v>0</v>
      </c>
      <c r="Y55" s="218">
        <v>-53</v>
      </c>
      <c r="Z55" s="213">
        <v>-53</v>
      </c>
      <c r="AA55" s="213">
        <v>-53</v>
      </c>
      <c r="AB55" s="213">
        <v>-53</v>
      </c>
      <c r="AC55" s="213">
        <v>-53</v>
      </c>
      <c r="AD55" s="214">
        <v>-498</v>
      </c>
      <c r="AE55" s="218">
        <v>-53</v>
      </c>
      <c r="AF55" s="213">
        <v>-53</v>
      </c>
      <c r="AG55" s="213">
        <v>-53</v>
      </c>
      <c r="AH55" s="213">
        <v>-53</v>
      </c>
      <c r="AI55" s="213">
        <v>-53</v>
      </c>
      <c r="AJ55" s="214">
        <v>-498</v>
      </c>
      <c r="AK55" s="218">
        <v>0</v>
      </c>
      <c r="AL55" s="213">
        <v>0</v>
      </c>
      <c r="AM55" s="213">
        <v>0</v>
      </c>
      <c r="AN55" s="213">
        <v>0</v>
      </c>
      <c r="AO55" s="213">
        <v>0</v>
      </c>
      <c r="AP55" s="214">
        <v>0</v>
      </c>
      <c r="AQ55" s="215">
        <v>0</v>
      </c>
      <c r="AR55" s="216">
        <v>0</v>
      </c>
      <c r="AS55" s="217">
        <v>0</v>
      </c>
      <c r="AT55" s="228">
        <v>4842</v>
      </c>
      <c r="AU55" s="229">
        <v>2513</v>
      </c>
      <c r="AV55" s="229">
        <v>3480</v>
      </c>
      <c r="AW55" s="230">
        <v>3480</v>
      </c>
      <c r="AX55" s="228">
        <v>4842</v>
      </c>
      <c r="AY55" s="229">
        <v>2513</v>
      </c>
      <c r="AZ55" s="229">
        <v>3480</v>
      </c>
      <c r="BA55" s="230">
        <v>3480</v>
      </c>
      <c r="BB55" s="228">
        <v>0</v>
      </c>
      <c r="BC55" s="229">
        <v>0</v>
      </c>
      <c r="BD55" s="229">
        <v>0</v>
      </c>
      <c r="BE55" s="230">
        <v>0</v>
      </c>
      <c r="BF55" s="215">
        <v>3170</v>
      </c>
      <c r="BG55" s="216">
        <v>3170</v>
      </c>
      <c r="BH55" s="217">
        <v>0</v>
      </c>
      <c r="BI55" s="196">
        <f t="shared" si="0"/>
        <v>0</v>
      </c>
    </row>
    <row r="56" spans="2:61">
      <c r="B56" s="195" t="s">
        <v>285</v>
      </c>
      <c r="C56" s="207">
        <v>0</v>
      </c>
      <c r="D56" s="208">
        <v>0</v>
      </c>
      <c r="E56" s="209">
        <v>0</v>
      </c>
      <c r="F56" s="209">
        <v>1</v>
      </c>
      <c r="G56" s="215">
        <v>0</v>
      </c>
      <c r="H56" s="216">
        <v>0</v>
      </c>
      <c r="I56" s="217">
        <v>0</v>
      </c>
      <c r="J56" s="215">
        <v>0</v>
      </c>
      <c r="K56" s="216">
        <v>0</v>
      </c>
      <c r="L56" s="216">
        <v>0</v>
      </c>
      <c r="M56" s="215">
        <v>0</v>
      </c>
      <c r="N56" s="216">
        <v>0</v>
      </c>
      <c r="O56" s="216">
        <v>0</v>
      </c>
      <c r="P56" s="215">
        <v>0</v>
      </c>
      <c r="Q56" s="216">
        <v>0</v>
      </c>
      <c r="R56" s="216">
        <v>0</v>
      </c>
      <c r="S56" s="215">
        <v>0</v>
      </c>
      <c r="T56" s="216">
        <v>0</v>
      </c>
      <c r="U56" s="216">
        <v>0</v>
      </c>
      <c r="V56" s="215">
        <v>0</v>
      </c>
      <c r="W56" s="216">
        <v>0</v>
      </c>
      <c r="X56" s="216">
        <v>0</v>
      </c>
      <c r="Y56" s="218">
        <v>0</v>
      </c>
      <c r="Z56" s="213">
        <v>0</v>
      </c>
      <c r="AA56" s="213">
        <v>0</v>
      </c>
      <c r="AB56" s="213">
        <v>0</v>
      </c>
      <c r="AC56" s="213">
        <v>0</v>
      </c>
      <c r="AD56" s="214">
        <v>0</v>
      </c>
      <c r="AE56" s="218">
        <v>0</v>
      </c>
      <c r="AF56" s="213">
        <v>0</v>
      </c>
      <c r="AG56" s="213">
        <v>0</v>
      </c>
      <c r="AH56" s="213">
        <v>0</v>
      </c>
      <c r="AI56" s="213">
        <v>0</v>
      </c>
      <c r="AJ56" s="214">
        <v>0</v>
      </c>
      <c r="AK56" s="218">
        <v>0</v>
      </c>
      <c r="AL56" s="213">
        <v>0</v>
      </c>
      <c r="AM56" s="213">
        <v>0</v>
      </c>
      <c r="AN56" s="213">
        <v>0</v>
      </c>
      <c r="AO56" s="213">
        <v>0</v>
      </c>
      <c r="AP56" s="214">
        <v>0</v>
      </c>
      <c r="AQ56" s="215">
        <v>0</v>
      </c>
      <c r="AR56" s="216">
        <v>0</v>
      </c>
      <c r="AS56" s="217">
        <v>0</v>
      </c>
      <c r="AT56" s="228">
        <v>0</v>
      </c>
      <c r="AU56" s="229">
        <v>0</v>
      </c>
      <c r="AV56" s="229">
        <v>0</v>
      </c>
      <c r="AW56" s="230">
        <v>0</v>
      </c>
      <c r="AX56" s="228">
        <v>0</v>
      </c>
      <c r="AY56" s="229">
        <v>0</v>
      </c>
      <c r="AZ56" s="229">
        <v>0</v>
      </c>
      <c r="BA56" s="230">
        <v>0</v>
      </c>
      <c r="BB56" s="228">
        <v>0</v>
      </c>
      <c r="BC56" s="229">
        <v>0</v>
      </c>
      <c r="BD56" s="229">
        <v>0</v>
      </c>
      <c r="BE56" s="230">
        <v>0</v>
      </c>
      <c r="BF56" s="215">
        <v>0</v>
      </c>
      <c r="BG56" s="216">
        <v>0</v>
      </c>
      <c r="BH56" s="217">
        <v>0</v>
      </c>
      <c r="BI56" s="196">
        <f t="shared" si="0"/>
        <v>0</v>
      </c>
    </row>
    <row r="57" spans="2:61">
      <c r="B57" s="195" t="s">
        <v>452</v>
      </c>
      <c r="C57" s="207">
        <v>614224</v>
      </c>
      <c r="D57" s="208">
        <v>614224</v>
      </c>
      <c r="E57" s="209">
        <v>1</v>
      </c>
      <c r="F57" s="209">
        <v>0</v>
      </c>
      <c r="G57" s="215">
        <v>614224</v>
      </c>
      <c r="H57" s="216">
        <v>614224</v>
      </c>
      <c r="I57" s="217">
        <v>0</v>
      </c>
      <c r="J57" s="215">
        <v>45135</v>
      </c>
      <c r="K57" s="216">
        <v>45135</v>
      </c>
      <c r="L57" s="216">
        <v>0</v>
      </c>
      <c r="M57" s="215">
        <v>0</v>
      </c>
      <c r="N57" s="216">
        <v>0</v>
      </c>
      <c r="O57" s="216">
        <v>0</v>
      </c>
      <c r="P57" s="215">
        <v>0</v>
      </c>
      <c r="Q57" s="216">
        <v>0</v>
      </c>
      <c r="R57" s="216">
        <v>0</v>
      </c>
      <c r="S57" s="215">
        <v>0</v>
      </c>
      <c r="T57" s="216">
        <v>0</v>
      </c>
      <c r="U57" s="216">
        <v>0</v>
      </c>
      <c r="V57" s="215">
        <v>71797</v>
      </c>
      <c r="W57" s="216">
        <v>71797</v>
      </c>
      <c r="X57" s="216">
        <v>0</v>
      </c>
      <c r="Y57" s="218">
        <v>-6527</v>
      </c>
      <c r="Z57" s="213">
        <v>-6527</v>
      </c>
      <c r="AA57" s="213">
        <v>-6527</v>
      </c>
      <c r="AB57" s="213">
        <v>-6527</v>
      </c>
      <c r="AC57" s="213">
        <v>-6527</v>
      </c>
      <c r="AD57" s="214">
        <v>-39162</v>
      </c>
      <c r="AE57" s="218">
        <v>-6527</v>
      </c>
      <c r="AF57" s="213">
        <v>-6527</v>
      </c>
      <c r="AG57" s="213">
        <v>-6527</v>
      </c>
      <c r="AH57" s="213">
        <v>-6527</v>
      </c>
      <c r="AI57" s="213">
        <v>-6527</v>
      </c>
      <c r="AJ57" s="214">
        <v>-39162</v>
      </c>
      <c r="AK57" s="218">
        <v>0</v>
      </c>
      <c r="AL57" s="213">
        <v>0</v>
      </c>
      <c r="AM57" s="213">
        <v>0</v>
      </c>
      <c r="AN57" s="213">
        <v>0</v>
      </c>
      <c r="AO57" s="213">
        <v>0</v>
      </c>
      <c r="AP57" s="214">
        <v>0</v>
      </c>
      <c r="AQ57" s="215">
        <v>1038</v>
      </c>
      <c r="AR57" s="216">
        <v>1038</v>
      </c>
      <c r="AS57" s="217">
        <v>0</v>
      </c>
      <c r="AT57" s="228">
        <v>741902</v>
      </c>
      <c r="AU57" s="229">
        <v>511734</v>
      </c>
      <c r="AV57" s="229">
        <v>614224</v>
      </c>
      <c r="AW57" s="230">
        <v>614224</v>
      </c>
      <c r="AX57" s="228">
        <v>741902</v>
      </c>
      <c r="AY57" s="229">
        <v>511734</v>
      </c>
      <c r="AZ57" s="229">
        <v>614224</v>
      </c>
      <c r="BA57" s="230">
        <v>614224</v>
      </c>
      <c r="BB57" s="228">
        <v>0</v>
      </c>
      <c r="BC57" s="229">
        <v>0</v>
      </c>
      <c r="BD57" s="229">
        <v>0</v>
      </c>
      <c r="BE57" s="230">
        <v>0</v>
      </c>
      <c r="BF57" s="215">
        <v>640886</v>
      </c>
      <c r="BG57" s="216">
        <v>640886</v>
      </c>
      <c r="BH57" s="217">
        <v>0</v>
      </c>
      <c r="BI57" s="196">
        <f t="shared" si="0"/>
        <v>0</v>
      </c>
    </row>
    <row r="58" spans="2:61">
      <c r="B58" s="195" t="s">
        <v>286</v>
      </c>
      <c r="C58" s="207">
        <v>0</v>
      </c>
      <c r="D58" s="208">
        <v>0</v>
      </c>
      <c r="E58" s="209">
        <v>0</v>
      </c>
      <c r="F58" s="209">
        <v>1</v>
      </c>
      <c r="G58" s="215">
        <v>0</v>
      </c>
      <c r="H58" s="216">
        <v>0</v>
      </c>
      <c r="I58" s="217">
        <v>0</v>
      </c>
      <c r="J58" s="215">
        <v>0</v>
      </c>
      <c r="K58" s="216">
        <v>0</v>
      </c>
      <c r="L58" s="216">
        <v>0</v>
      </c>
      <c r="M58" s="215">
        <v>0</v>
      </c>
      <c r="N58" s="216">
        <v>0</v>
      </c>
      <c r="O58" s="216">
        <v>0</v>
      </c>
      <c r="P58" s="215">
        <v>0</v>
      </c>
      <c r="Q58" s="216">
        <v>0</v>
      </c>
      <c r="R58" s="216">
        <v>0</v>
      </c>
      <c r="S58" s="215">
        <v>0</v>
      </c>
      <c r="T58" s="216">
        <v>0</v>
      </c>
      <c r="U58" s="216">
        <v>0</v>
      </c>
      <c r="V58" s="215">
        <v>0</v>
      </c>
      <c r="W58" s="216">
        <v>0</v>
      </c>
      <c r="X58" s="216">
        <v>0</v>
      </c>
      <c r="Y58" s="218">
        <v>0</v>
      </c>
      <c r="Z58" s="213">
        <v>0</v>
      </c>
      <c r="AA58" s="213">
        <v>0</v>
      </c>
      <c r="AB58" s="213">
        <v>0</v>
      </c>
      <c r="AC58" s="213">
        <v>0</v>
      </c>
      <c r="AD58" s="214">
        <v>0</v>
      </c>
      <c r="AE58" s="218">
        <v>0</v>
      </c>
      <c r="AF58" s="213">
        <v>0</v>
      </c>
      <c r="AG58" s="213">
        <v>0</v>
      </c>
      <c r="AH58" s="213">
        <v>0</v>
      </c>
      <c r="AI58" s="213">
        <v>0</v>
      </c>
      <c r="AJ58" s="214">
        <v>0</v>
      </c>
      <c r="AK58" s="218">
        <v>0</v>
      </c>
      <c r="AL58" s="213">
        <v>0</v>
      </c>
      <c r="AM58" s="213">
        <v>0</v>
      </c>
      <c r="AN58" s="213">
        <v>0</v>
      </c>
      <c r="AO58" s="213">
        <v>0</v>
      </c>
      <c r="AP58" s="214">
        <v>0</v>
      </c>
      <c r="AQ58" s="215">
        <v>0</v>
      </c>
      <c r="AR58" s="216">
        <v>0</v>
      </c>
      <c r="AS58" s="217">
        <v>0</v>
      </c>
      <c r="AT58" s="228">
        <v>0</v>
      </c>
      <c r="AU58" s="229">
        <v>0</v>
      </c>
      <c r="AV58" s="229">
        <v>0</v>
      </c>
      <c r="AW58" s="230">
        <v>0</v>
      </c>
      <c r="AX58" s="228">
        <v>0</v>
      </c>
      <c r="AY58" s="229">
        <v>0</v>
      </c>
      <c r="AZ58" s="229">
        <v>0</v>
      </c>
      <c r="BA58" s="230">
        <v>0</v>
      </c>
      <c r="BB58" s="228">
        <v>0</v>
      </c>
      <c r="BC58" s="229">
        <v>0</v>
      </c>
      <c r="BD58" s="229">
        <v>0</v>
      </c>
      <c r="BE58" s="230">
        <v>0</v>
      </c>
      <c r="BF58" s="215">
        <v>0</v>
      </c>
      <c r="BG58" s="216">
        <v>0</v>
      </c>
      <c r="BH58" s="217">
        <v>0</v>
      </c>
      <c r="BI58" s="196">
        <f t="shared" si="0"/>
        <v>0</v>
      </c>
    </row>
    <row r="59" spans="2:61">
      <c r="B59" s="195" t="s">
        <v>453</v>
      </c>
      <c r="C59" s="207">
        <v>27996</v>
      </c>
      <c r="D59" s="208">
        <v>27996</v>
      </c>
      <c r="E59" s="209">
        <v>1</v>
      </c>
      <c r="F59" s="209">
        <v>0</v>
      </c>
      <c r="G59" s="215">
        <v>27996</v>
      </c>
      <c r="H59" s="216">
        <v>27996</v>
      </c>
      <c r="I59" s="217">
        <v>0</v>
      </c>
      <c r="J59" s="215">
        <v>3856</v>
      </c>
      <c r="K59" s="216">
        <v>3856</v>
      </c>
      <c r="L59" s="216">
        <v>0</v>
      </c>
      <c r="M59" s="215">
        <v>0</v>
      </c>
      <c r="N59" s="216">
        <v>0</v>
      </c>
      <c r="O59" s="216">
        <v>0</v>
      </c>
      <c r="P59" s="215">
        <v>0</v>
      </c>
      <c r="Q59" s="216">
        <v>0</v>
      </c>
      <c r="R59" s="216">
        <v>0</v>
      </c>
      <c r="S59" s="215">
        <v>0</v>
      </c>
      <c r="T59" s="216">
        <v>0</v>
      </c>
      <c r="U59" s="216">
        <v>0</v>
      </c>
      <c r="V59" s="215">
        <v>4282</v>
      </c>
      <c r="W59" s="216">
        <v>4282</v>
      </c>
      <c r="X59" s="216">
        <v>0</v>
      </c>
      <c r="Y59" s="218">
        <v>-317</v>
      </c>
      <c r="Z59" s="213">
        <v>-317</v>
      </c>
      <c r="AA59" s="213">
        <v>-317</v>
      </c>
      <c r="AB59" s="213">
        <v>-317</v>
      </c>
      <c r="AC59" s="213">
        <v>-317</v>
      </c>
      <c r="AD59" s="214">
        <v>-2697</v>
      </c>
      <c r="AE59" s="218">
        <v>-317</v>
      </c>
      <c r="AF59" s="213">
        <v>-317</v>
      </c>
      <c r="AG59" s="213">
        <v>-317</v>
      </c>
      <c r="AH59" s="213">
        <v>-317</v>
      </c>
      <c r="AI59" s="213">
        <v>-317</v>
      </c>
      <c r="AJ59" s="214">
        <v>-2697</v>
      </c>
      <c r="AK59" s="218">
        <v>0</v>
      </c>
      <c r="AL59" s="213">
        <v>0</v>
      </c>
      <c r="AM59" s="213">
        <v>0</v>
      </c>
      <c r="AN59" s="213">
        <v>0</v>
      </c>
      <c r="AO59" s="213">
        <v>0</v>
      </c>
      <c r="AP59" s="214">
        <v>0</v>
      </c>
      <c r="AQ59" s="215">
        <v>0</v>
      </c>
      <c r="AR59" s="216">
        <v>0</v>
      </c>
      <c r="AS59" s="217">
        <v>0</v>
      </c>
      <c r="AT59" s="228">
        <v>35566</v>
      </c>
      <c r="AU59" s="229">
        <v>22000</v>
      </c>
      <c r="AV59" s="229">
        <v>27996</v>
      </c>
      <c r="AW59" s="230">
        <v>27996</v>
      </c>
      <c r="AX59" s="228">
        <v>35566</v>
      </c>
      <c r="AY59" s="229">
        <v>22000</v>
      </c>
      <c r="AZ59" s="229">
        <v>27996</v>
      </c>
      <c r="BA59" s="230">
        <v>27996</v>
      </c>
      <c r="BB59" s="228">
        <v>0</v>
      </c>
      <c r="BC59" s="229">
        <v>0</v>
      </c>
      <c r="BD59" s="229">
        <v>0</v>
      </c>
      <c r="BE59" s="230">
        <v>0</v>
      </c>
      <c r="BF59" s="215">
        <v>28422</v>
      </c>
      <c r="BG59" s="216">
        <v>28422</v>
      </c>
      <c r="BH59" s="217">
        <v>0</v>
      </c>
      <c r="BI59" s="196">
        <f t="shared" si="0"/>
        <v>0</v>
      </c>
    </row>
    <row r="60" spans="2:61">
      <c r="B60" s="195" t="s">
        <v>287</v>
      </c>
      <c r="C60" s="207">
        <v>1099251</v>
      </c>
      <c r="D60" s="208">
        <v>1099251</v>
      </c>
      <c r="E60" s="209">
        <v>1</v>
      </c>
      <c r="F60" s="209">
        <v>0</v>
      </c>
      <c r="G60" s="215">
        <v>1099251</v>
      </c>
      <c r="H60" s="216">
        <v>1099251</v>
      </c>
      <c r="I60" s="217">
        <v>0</v>
      </c>
      <c r="J60" s="215">
        <v>42064</v>
      </c>
      <c r="K60" s="216">
        <v>42064</v>
      </c>
      <c r="L60" s="216">
        <v>0</v>
      </c>
      <c r="M60" s="215">
        <v>0</v>
      </c>
      <c r="N60" s="216">
        <v>0</v>
      </c>
      <c r="O60" s="216">
        <v>0</v>
      </c>
      <c r="P60" s="215">
        <v>0</v>
      </c>
      <c r="Q60" s="216">
        <v>0</v>
      </c>
      <c r="R60" s="216">
        <v>0</v>
      </c>
      <c r="S60" s="215">
        <v>0</v>
      </c>
      <c r="T60" s="216">
        <v>0</v>
      </c>
      <c r="U60" s="216">
        <v>0</v>
      </c>
      <c r="V60" s="215">
        <v>82155</v>
      </c>
      <c r="W60" s="216">
        <v>82155</v>
      </c>
      <c r="X60" s="216">
        <v>0</v>
      </c>
      <c r="Y60" s="218">
        <v>-10533</v>
      </c>
      <c r="Z60" s="213">
        <v>-10533</v>
      </c>
      <c r="AA60" s="213">
        <v>-10533</v>
      </c>
      <c r="AB60" s="213">
        <v>-10533</v>
      </c>
      <c r="AC60" s="213">
        <v>-10533</v>
      </c>
      <c r="AD60" s="214">
        <v>-29490</v>
      </c>
      <c r="AE60" s="218">
        <v>-10533</v>
      </c>
      <c r="AF60" s="213">
        <v>-10533</v>
      </c>
      <c r="AG60" s="213">
        <v>-10533</v>
      </c>
      <c r="AH60" s="213">
        <v>-10533</v>
      </c>
      <c r="AI60" s="213">
        <v>-10533</v>
      </c>
      <c r="AJ60" s="214">
        <v>-29490</v>
      </c>
      <c r="AK60" s="218">
        <v>0</v>
      </c>
      <c r="AL60" s="213">
        <v>0</v>
      </c>
      <c r="AM60" s="213">
        <v>0</v>
      </c>
      <c r="AN60" s="213">
        <v>0</v>
      </c>
      <c r="AO60" s="213">
        <v>0</v>
      </c>
      <c r="AP60" s="214">
        <v>0</v>
      </c>
      <c r="AQ60" s="215">
        <v>62406</v>
      </c>
      <c r="AR60" s="216">
        <v>62406</v>
      </c>
      <c r="AS60" s="217">
        <v>0</v>
      </c>
      <c r="AT60" s="228">
        <v>1249067</v>
      </c>
      <c r="AU60" s="229">
        <v>976352</v>
      </c>
      <c r="AV60" s="229">
        <v>1099251</v>
      </c>
      <c r="AW60" s="230">
        <v>1099251</v>
      </c>
      <c r="AX60" s="228">
        <v>1249067</v>
      </c>
      <c r="AY60" s="229">
        <v>976352</v>
      </c>
      <c r="AZ60" s="229">
        <v>1099251</v>
      </c>
      <c r="BA60" s="230">
        <v>1099251</v>
      </c>
      <c r="BB60" s="228">
        <v>0</v>
      </c>
      <c r="BC60" s="229">
        <v>0</v>
      </c>
      <c r="BD60" s="229">
        <v>0</v>
      </c>
      <c r="BE60" s="230">
        <v>0</v>
      </c>
      <c r="BF60" s="215">
        <v>1201592</v>
      </c>
      <c r="BG60" s="216">
        <v>1201592</v>
      </c>
      <c r="BH60" s="217">
        <v>0</v>
      </c>
      <c r="BI60" s="196">
        <f t="shared" si="0"/>
        <v>0</v>
      </c>
    </row>
    <row r="61" spans="2:61">
      <c r="B61" s="195" t="s">
        <v>288</v>
      </c>
      <c r="C61" s="207">
        <v>1575460</v>
      </c>
      <c r="D61" s="208">
        <v>1575460</v>
      </c>
      <c r="E61" s="209">
        <v>1</v>
      </c>
      <c r="F61" s="209">
        <v>0</v>
      </c>
      <c r="G61" s="215">
        <v>1575460</v>
      </c>
      <c r="H61" s="216">
        <v>1575460</v>
      </c>
      <c r="I61" s="217">
        <v>0</v>
      </c>
      <c r="J61" s="215">
        <v>58175</v>
      </c>
      <c r="K61" s="216">
        <v>58175</v>
      </c>
      <c r="L61" s="216">
        <v>0</v>
      </c>
      <c r="M61" s="215">
        <v>0</v>
      </c>
      <c r="N61" s="216">
        <v>0</v>
      </c>
      <c r="O61" s="216">
        <v>0</v>
      </c>
      <c r="P61" s="215">
        <v>0</v>
      </c>
      <c r="Q61" s="216">
        <v>0</v>
      </c>
      <c r="R61" s="216">
        <v>0</v>
      </c>
      <c r="S61" s="215">
        <v>0</v>
      </c>
      <c r="T61" s="216">
        <v>0</v>
      </c>
      <c r="U61" s="216">
        <v>0</v>
      </c>
      <c r="V61" s="215">
        <v>117317</v>
      </c>
      <c r="W61" s="216">
        <v>117317</v>
      </c>
      <c r="X61" s="216">
        <v>0</v>
      </c>
      <c r="Y61" s="218">
        <v>-18049</v>
      </c>
      <c r="Z61" s="213">
        <v>-18049</v>
      </c>
      <c r="AA61" s="213">
        <v>-18049</v>
      </c>
      <c r="AB61" s="213">
        <v>-18049</v>
      </c>
      <c r="AC61" s="213">
        <v>-18049</v>
      </c>
      <c r="AD61" s="214">
        <v>-27072</v>
      </c>
      <c r="AE61" s="218">
        <v>-18049</v>
      </c>
      <c r="AF61" s="213">
        <v>-18049</v>
      </c>
      <c r="AG61" s="213">
        <v>-18049</v>
      </c>
      <c r="AH61" s="213">
        <v>-18049</v>
      </c>
      <c r="AI61" s="213">
        <v>-18049</v>
      </c>
      <c r="AJ61" s="214">
        <v>-27072</v>
      </c>
      <c r="AK61" s="218">
        <v>0</v>
      </c>
      <c r="AL61" s="213">
        <v>0</v>
      </c>
      <c r="AM61" s="213">
        <v>0</v>
      </c>
      <c r="AN61" s="213">
        <v>0</v>
      </c>
      <c r="AO61" s="213">
        <v>0</v>
      </c>
      <c r="AP61" s="214">
        <v>0</v>
      </c>
      <c r="AQ61" s="215">
        <v>70872</v>
      </c>
      <c r="AR61" s="216">
        <v>70872</v>
      </c>
      <c r="AS61" s="217">
        <v>0</v>
      </c>
      <c r="AT61" s="228">
        <v>1794255</v>
      </c>
      <c r="AU61" s="229">
        <v>1394630</v>
      </c>
      <c r="AV61" s="229">
        <v>1575460</v>
      </c>
      <c r="AW61" s="230">
        <v>1575460</v>
      </c>
      <c r="AX61" s="228">
        <v>1794255</v>
      </c>
      <c r="AY61" s="229">
        <v>1394630</v>
      </c>
      <c r="AZ61" s="229">
        <v>1575460</v>
      </c>
      <c r="BA61" s="230">
        <v>1575460</v>
      </c>
      <c r="BB61" s="228">
        <v>0</v>
      </c>
      <c r="BC61" s="229">
        <v>0</v>
      </c>
      <c r="BD61" s="229">
        <v>0</v>
      </c>
      <c r="BE61" s="230">
        <v>0</v>
      </c>
      <c r="BF61" s="215">
        <v>1703902</v>
      </c>
      <c r="BG61" s="216">
        <v>1703902</v>
      </c>
      <c r="BH61" s="217">
        <v>0</v>
      </c>
      <c r="BI61" s="196">
        <f t="shared" si="0"/>
        <v>0</v>
      </c>
    </row>
    <row r="62" spans="2:61">
      <c r="B62" s="195" t="s">
        <v>289</v>
      </c>
      <c r="C62" s="207">
        <v>9885</v>
      </c>
      <c r="D62" s="208">
        <v>9885</v>
      </c>
      <c r="E62" s="209">
        <v>1</v>
      </c>
      <c r="F62" s="209">
        <v>0</v>
      </c>
      <c r="G62" s="215">
        <v>9885</v>
      </c>
      <c r="H62" s="216">
        <v>9885</v>
      </c>
      <c r="I62" s="217">
        <v>0</v>
      </c>
      <c r="J62" s="215">
        <v>1620</v>
      </c>
      <c r="K62" s="216">
        <v>1620</v>
      </c>
      <c r="L62" s="216">
        <v>0</v>
      </c>
      <c r="M62" s="215">
        <v>0</v>
      </c>
      <c r="N62" s="216">
        <v>0</v>
      </c>
      <c r="O62" s="216">
        <v>0</v>
      </c>
      <c r="P62" s="215">
        <v>0</v>
      </c>
      <c r="Q62" s="216">
        <v>0</v>
      </c>
      <c r="R62" s="216">
        <v>0</v>
      </c>
      <c r="S62" s="215">
        <v>0</v>
      </c>
      <c r="T62" s="216">
        <v>0</v>
      </c>
      <c r="U62" s="216">
        <v>0</v>
      </c>
      <c r="V62" s="215">
        <v>1563</v>
      </c>
      <c r="W62" s="216">
        <v>1563</v>
      </c>
      <c r="X62" s="216">
        <v>0</v>
      </c>
      <c r="Y62" s="218">
        <v>-112</v>
      </c>
      <c r="Z62" s="213">
        <v>-112</v>
      </c>
      <c r="AA62" s="213">
        <v>-112</v>
      </c>
      <c r="AB62" s="213">
        <v>-112</v>
      </c>
      <c r="AC62" s="213">
        <v>-112</v>
      </c>
      <c r="AD62" s="214">
        <v>-1003</v>
      </c>
      <c r="AE62" s="218">
        <v>-112</v>
      </c>
      <c r="AF62" s="213">
        <v>-112</v>
      </c>
      <c r="AG62" s="213">
        <v>-112</v>
      </c>
      <c r="AH62" s="213">
        <v>-112</v>
      </c>
      <c r="AI62" s="213">
        <v>-112</v>
      </c>
      <c r="AJ62" s="214">
        <v>-1003</v>
      </c>
      <c r="AK62" s="218">
        <v>0</v>
      </c>
      <c r="AL62" s="213">
        <v>0</v>
      </c>
      <c r="AM62" s="213">
        <v>0</v>
      </c>
      <c r="AN62" s="213">
        <v>0</v>
      </c>
      <c r="AO62" s="213">
        <v>0</v>
      </c>
      <c r="AP62" s="214">
        <v>0</v>
      </c>
      <c r="AQ62" s="215">
        <v>0</v>
      </c>
      <c r="AR62" s="216">
        <v>0</v>
      </c>
      <c r="AS62" s="217">
        <v>0</v>
      </c>
      <c r="AT62" s="228">
        <v>12648</v>
      </c>
      <c r="AU62" s="229">
        <v>7884</v>
      </c>
      <c r="AV62" s="229">
        <v>9885</v>
      </c>
      <c r="AW62" s="230">
        <v>9885</v>
      </c>
      <c r="AX62" s="228">
        <v>12648</v>
      </c>
      <c r="AY62" s="229">
        <v>7884</v>
      </c>
      <c r="AZ62" s="229">
        <v>9885</v>
      </c>
      <c r="BA62" s="230">
        <v>9885</v>
      </c>
      <c r="BB62" s="228">
        <v>0</v>
      </c>
      <c r="BC62" s="229">
        <v>0</v>
      </c>
      <c r="BD62" s="229">
        <v>0</v>
      </c>
      <c r="BE62" s="230">
        <v>0</v>
      </c>
      <c r="BF62" s="215">
        <v>9828</v>
      </c>
      <c r="BG62" s="216">
        <v>9828</v>
      </c>
      <c r="BH62" s="217">
        <v>0</v>
      </c>
      <c r="BI62" s="196">
        <f t="shared" si="0"/>
        <v>0</v>
      </c>
    </row>
    <row r="63" spans="2:61">
      <c r="B63" s="195" t="s">
        <v>290</v>
      </c>
      <c r="C63" s="207">
        <v>850699</v>
      </c>
      <c r="D63" s="208">
        <v>850699</v>
      </c>
      <c r="E63" s="209">
        <v>1</v>
      </c>
      <c r="F63" s="209">
        <v>0</v>
      </c>
      <c r="G63" s="215">
        <v>850699</v>
      </c>
      <c r="H63" s="216">
        <v>850699</v>
      </c>
      <c r="I63" s="217">
        <v>0</v>
      </c>
      <c r="J63" s="215">
        <v>38618</v>
      </c>
      <c r="K63" s="216">
        <v>38618</v>
      </c>
      <c r="L63" s="216">
        <v>0</v>
      </c>
      <c r="M63" s="215">
        <v>0</v>
      </c>
      <c r="N63" s="216">
        <v>0</v>
      </c>
      <c r="O63" s="216">
        <v>0</v>
      </c>
      <c r="P63" s="215">
        <v>0</v>
      </c>
      <c r="Q63" s="216">
        <v>0</v>
      </c>
      <c r="R63" s="216">
        <v>0</v>
      </c>
      <c r="S63" s="215">
        <v>0</v>
      </c>
      <c r="T63" s="216">
        <v>0</v>
      </c>
      <c r="U63" s="216">
        <v>0</v>
      </c>
      <c r="V63" s="215">
        <v>76014</v>
      </c>
      <c r="W63" s="216">
        <v>76014</v>
      </c>
      <c r="X63" s="216">
        <v>0</v>
      </c>
      <c r="Y63" s="218">
        <v>-8839</v>
      </c>
      <c r="Z63" s="213">
        <v>-8839</v>
      </c>
      <c r="AA63" s="213">
        <v>-8839</v>
      </c>
      <c r="AB63" s="213">
        <v>-8839</v>
      </c>
      <c r="AC63" s="213">
        <v>-8839</v>
      </c>
      <c r="AD63" s="214">
        <v>-31819</v>
      </c>
      <c r="AE63" s="218">
        <v>-8839</v>
      </c>
      <c r="AF63" s="213">
        <v>-8839</v>
      </c>
      <c r="AG63" s="213">
        <v>-8839</v>
      </c>
      <c r="AH63" s="213">
        <v>-8839</v>
      </c>
      <c r="AI63" s="213">
        <v>-8839</v>
      </c>
      <c r="AJ63" s="214">
        <v>-31819</v>
      </c>
      <c r="AK63" s="218">
        <v>0</v>
      </c>
      <c r="AL63" s="213">
        <v>0</v>
      </c>
      <c r="AM63" s="213">
        <v>0</v>
      </c>
      <c r="AN63" s="213">
        <v>0</v>
      </c>
      <c r="AO63" s="213">
        <v>0</v>
      </c>
      <c r="AP63" s="214">
        <v>0</v>
      </c>
      <c r="AQ63" s="215">
        <v>27844</v>
      </c>
      <c r="AR63" s="216">
        <v>27844</v>
      </c>
      <c r="AS63" s="217">
        <v>0</v>
      </c>
      <c r="AT63" s="228">
        <v>988122</v>
      </c>
      <c r="AU63" s="229">
        <v>738699</v>
      </c>
      <c r="AV63" s="229">
        <v>850699</v>
      </c>
      <c r="AW63" s="230">
        <v>850699</v>
      </c>
      <c r="AX63" s="228">
        <v>988122</v>
      </c>
      <c r="AY63" s="229">
        <v>738699</v>
      </c>
      <c r="AZ63" s="229">
        <v>850699</v>
      </c>
      <c r="BA63" s="230">
        <v>850699</v>
      </c>
      <c r="BB63" s="228">
        <v>0</v>
      </c>
      <c r="BC63" s="229">
        <v>0</v>
      </c>
      <c r="BD63" s="229">
        <v>0</v>
      </c>
      <c r="BE63" s="230">
        <v>0</v>
      </c>
      <c r="BF63" s="215">
        <v>915995</v>
      </c>
      <c r="BG63" s="216">
        <v>915995</v>
      </c>
      <c r="BH63" s="217">
        <v>0</v>
      </c>
      <c r="BI63" s="196">
        <f t="shared" si="0"/>
        <v>0</v>
      </c>
    </row>
    <row r="64" spans="2:61">
      <c r="B64" s="195" t="s">
        <v>291</v>
      </c>
      <c r="C64" s="207">
        <v>2200079</v>
      </c>
      <c r="D64" s="208">
        <v>2200079</v>
      </c>
      <c r="E64" s="209">
        <v>1</v>
      </c>
      <c r="F64" s="209">
        <v>0</v>
      </c>
      <c r="G64" s="215">
        <v>2200079</v>
      </c>
      <c r="H64" s="216">
        <v>2200079</v>
      </c>
      <c r="I64" s="217">
        <v>0</v>
      </c>
      <c r="J64" s="215">
        <v>85360</v>
      </c>
      <c r="K64" s="216">
        <v>85360</v>
      </c>
      <c r="L64" s="216">
        <v>0</v>
      </c>
      <c r="M64" s="215">
        <v>0</v>
      </c>
      <c r="N64" s="216">
        <v>0</v>
      </c>
      <c r="O64" s="216">
        <v>0</v>
      </c>
      <c r="P64" s="215">
        <v>0</v>
      </c>
      <c r="Q64" s="216">
        <v>0</v>
      </c>
      <c r="R64" s="216">
        <v>0</v>
      </c>
      <c r="S64" s="215">
        <v>0</v>
      </c>
      <c r="T64" s="216">
        <v>0</v>
      </c>
      <c r="U64" s="216">
        <v>0</v>
      </c>
      <c r="V64" s="215">
        <v>177013</v>
      </c>
      <c r="W64" s="216">
        <v>177013</v>
      </c>
      <c r="X64" s="216">
        <v>0</v>
      </c>
      <c r="Y64" s="218">
        <v>-21854</v>
      </c>
      <c r="Z64" s="213">
        <v>-21854</v>
      </c>
      <c r="AA64" s="213">
        <v>-21854</v>
      </c>
      <c r="AB64" s="213">
        <v>-21854</v>
      </c>
      <c r="AC64" s="213">
        <v>-21854</v>
      </c>
      <c r="AD64" s="214">
        <v>-67743</v>
      </c>
      <c r="AE64" s="218">
        <v>-21854</v>
      </c>
      <c r="AF64" s="213">
        <v>-21854</v>
      </c>
      <c r="AG64" s="213">
        <v>-21854</v>
      </c>
      <c r="AH64" s="213">
        <v>-21854</v>
      </c>
      <c r="AI64" s="213">
        <v>-21854</v>
      </c>
      <c r="AJ64" s="214">
        <v>-67743</v>
      </c>
      <c r="AK64" s="218">
        <v>0</v>
      </c>
      <c r="AL64" s="213">
        <v>0</v>
      </c>
      <c r="AM64" s="213">
        <v>0</v>
      </c>
      <c r="AN64" s="213">
        <v>0</v>
      </c>
      <c r="AO64" s="213">
        <v>0</v>
      </c>
      <c r="AP64" s="214">
        <v>0</v>
      </c>
      <c r="AQ64" s="215">
        <v>91213</v>
      </c>
      <c r="AR64" s="216">
        <v>91213</v>
      </c>
      <c r="AS64" s="217">
        <v>0</v>
      </c>
      <c r="AT64" s="228">
        <v>2522612</v>
      </c>
      <c r="AU64" s="229">
        <v>1935861</v>
      </c>
      <c r="AV64" s="229">
        <v>2200079</v>
      </c>
      <c r="AW64" s="230">
        <v>2200079</v>
      </c>
      <c r="AX64" s="228">
        <v>2522612</v>
      </c>
      <c r="AY64" s="229">
        <v>1935861</v>
      </c>
      <c r="AZ64" s="229">
        <v>2200079</v>
      </c>
      <c r="BA64" s="230">
        <v>2200079</v>
      </c>
      <c r="BB64" s="228">
        <v>0</v>
      </c>
      <c r="BC64" s="229">
        <v>0</v>
      </c>
      <c r="BD64" s="229">
        <v>0</v>
      </c>
      <c r="BE64" s="230">
        <v>0</v>
      </c>
      <c r="BF64" s="215">
        <v>2380832</v>
      </c>
      <c r="BG64" s="216">
        <v>2380832</v>
      </c>
      <c r="BH64" s="217">
        <v>0</v>
      </c>
      <c r="BI64" s="196">
        <f t="shared" si="0"/>
        <v>0</v>
      </c>
    </row>
    <row r="65" spans="2:61">
      <c r="B65" s="195" t="s">
        <v>292</v>
      </c>
      <c r="C65" s="207">
        <v>2429851</v>
      </c>
      <c r="D65" s="208">
        <v>1212501</v>
      </c>
      <c r="E65" s="209">
        <v>0.499002</v>
      </c>
      <c r="F65" s="209">
        <v>0.50099800000000005</v>
      </c>
      <c r="G65" s="215">
        <v>2429851</v>
      </c>
      <c r="H65" s="216">
        <v>1212501</v>
      </c>
      <c r="I65" s="217">
        <v>1217350</v>
      </c>
      <c r="J65" s="215">
        <v>98916</v>
      </c>
      <c r="K65" s="216">
        <v>49359</v>
      </c>
      <c r="L65" s="216">
        <v>49557</v>
      </c>
      <c r="M65" s="215">
        <v>0</v>
      </c>
      <c r="N65" s="216">
        <v>0</v>
      </c>
      <c r="O65" s="216">
        <v>0</v>
      </c>
      <c r="P65" s="215">
        <v>0</v>
      </c>
      <c r="Q65" s="216">
        <v>0</v>
      </c>
      <c r="R65" s="216">
        <v>0</v>
      </c>
      <c r="S65" s="215">
        <v>0</v>
      </c>
      <c r="T65" s="216">
        <v>0</v>
      </c>
      <c r="U65" s="216">
        <v>0</v>
      </c>
      <c r="V65" s="215">
        <v>193968</v>
      </c>
      <c r="W65" s="216">
        <v>96790</v>
      </c>
      <c r="X65" s="216">
        <v>97178</v>
      </c>
      <c r="Y65" s="218">
        <v>-26571</v>
      </c>
      <c r="Z65" s="213">
        <v>-26571</v>
      </c>
      <c r="AA65" s="213">
        <v>-26571</v>
      </c>
      <c r="AB65" s="213">
        <v>-26571</v>
      </c>
      <c r="AC65" s="213">
        <v>-26571</v>
      </c>
      <c r="AD65" s="214">
        <v>-61113</v>
      </c>
      <c r="AE65" s="218">
        <v>-13258.982142000001</v>
      </c>
      <c r="AF65" s="213">
        <v>-13258.982142000001</v>
      </c>
      <c r="AG65" s="213">
        <v>-13258.982142000001</v>
      </c>
      <c r="AH65" s="213">
        <v>-13258.982142000001</v>
      </c>
      <c r="AI65" s="213">
        <v>-13258.982142000001</v>
      </c>
      <c r="AJ65" s="214">
        <v>-30495.509225999998</v>
      </c>
      <c r="AK65" s="218">
        <v>-13312.017857999999</v>
      </c>
      <c r="AL65" s="213">
        <v>-13312.017857999999</v>
      </c>
      <c r="AM65" s="213">
        <v>-13312.017857999999</v>
      </c>
      <c r="AN65" s="213">
        <v>-13312.017857999999</v>
      </c>
      <c r="AO65" s="213">
        <v>-13312.017857999999</v>
      </c>
      <c r="AP65" s="214">
        <v>-30617.490774000002</v>
      </c>
      <c r="AQ65" s="215">
        <v>100688</v>
      </c>
      <c r="AR65" s="216">
        <v>50337</v>
      </c>
      <c r="AS65" s="217">
        <v>50351</v>
      </c>
      <c r="AT65" s="228">
        <v>2787529</v>
      </c>
      <c r="AU65" s="229">
        <v>2135526</v>
      </c>
      <c r="AV65" s="229">
        <v>2429851</v>
      </c>
      <c r="AW65" s="230">
        <v>2429851</v>
      </c>
      <c r="AX65" s="228">
        <v>1393103</v>
      </c>
      <c r="AY65" s="229">
        <v>1064332</v>
      </c>
      <c r="AZ65" s="229">
        <v>1212501</v>
      </c>
      <c r="BA65" s="230">
        <v>1212501</v>
      </c>
      <c r="BB65" s="228">
        <v>1396546.4539420002</v>
      </c>
      <c r="BC65" s="229">
        <v>1069894.2549480002</v>
      </c>
      <c r="BD65" s="229">
        <v>1217350.4912980001</v>
      </c>
      <c r="BE65" s="230">
        <v>1217350.4912980001</v>
      </c>
      <c r="BF65" s="215">
        <v>2624803</v>
      </c>
      <c r="BG65" s="216">
        <v>1309782</v>
      </c>
      <c r="BH65" s="217">
        <v>1315021</v>
      </c>
      <c r="BI65" s="196">
        <f t="shared" si="0"/>
        <v>-97671</v>
      </c>
    </row>
    <row r="66" spans="2:61">
      <c r="B66" s="195" t="s">
        <v>293</v>
      </c>
      <c r="C66" s="207">
        <v>694720</v>
      </c>
      <c r="D66" s="208">
        <v>694720</v>
      </c>
      <c r="E66" s="209">
        <v>1</v>
      </c>
      <c r="F66" s="209">
        <v>0</v>
      </c>
      <c r="G66" s="215">
        <v>694720</v>
      </c>
      <c r="H66" s="216">
        <v>694720</v>
      </c>
      <c r="I66" s="217">
        <v>0</v>
      </c>
      <c r="J66" s="215">
        <v>27466</v>
      </c>
      <c r="K66" s="216">
        <v>27466</v>
      </c>
      <c r="L66" s="216">
        <v>0</v>
      </c>
      <c r="M66" s="215">
        <v>0</v>
      </c>
      <c r="N66" s="216">
        <v>0</v>
      </c>
      <c r="O66" s="216">
        <v>0</v>
      </c>
      <c r="P66" s="215">
        <v>0</v>
      </c>
      <c r="Q66" s="216">
        <v>0</v>
      </c>
      <c r="R66" s="216">
        <v>0</v>
      </c>
      <c r="S66" s="215">
        <v>0</v>
      </c>
      <c r="T66" s="216">
        <v>0</v>
      </c>
      <c r="U66" s="216">
        <v>0</v>
      </c>
      <c r="V66" s="215">
        <v>53855</v>
      </c>
      <c r="W66" s="216">
        <v>53855</v>
      </c>
      <c r="X66" s="216">
        <v>0</v>
      </c>
      <c r="Y66" s="218">
        <v>-7181</v>
      </c>
      <c r="Z66" s="213">
        <v>-7181</v>
      </c>
      <c r="AA66" s="213">
        <v>-7181</v>
      </c>
      <c r="AB66" s="213">
        <v>-7181</v>
      </c>
      <c r="AC66" s="213">
        <v>-7181</v>
      </c>
      <c r="AD66" s="214">
        <v>-17950</v>
      </c>
      <c r="AE66" s="218">
        <v>-7181</v>
      </c>
      <c r="AF66" s="213">
        <v>-7181</v>
      </c>
      <c r="AG66" s="213">
        <v>-7181</v>
      </c>
      <c r="AH66" s="213">
        <v>-7181</v>
      </c>
      <c r="AI66" s="213">
        <v>-7181</v>
      </c>
      <c r="AJ66" s="214">
        <v>-17950</v>
      </c>
      <c r="AK66" s="218">
        <v>0</v>
      </c>
      <c r="AL66" s="213">
        <v>0</v>
      </c>
      <c r="AM66" s="213">
        <v>0</v>
      </c>
      <c r="AN66" s="213">
        <v>0</v>
      </c>
      <c r="AO66" s="213">
        <v>0</v>
      </c>
      <c r="AP66" s="214">
        <v>0</v>
      </c>
      <c r="AQ66" s="215">
        <v>31428</v>
      </c>
      <c r="AR66" s="216">
        <v>31428</v>
      </c>
      <c r="AS66" s="217">
        <v>0</v>
      </c>
      <c r="AT66" s="228">
        <v>793401</v>
      </c>
      <c r="AU66" s="229">
        <v>613295</v>
      </c>
      <c r="AV66" s="229">
        <v>694720</v>
      </c>
      <c r="AW66" s="230">
        <v>694720</v>
      </c>
      <c r="AX66" s="228">
        <v>793401</v>
      </c>
      <c r="AY66" s="229">
        <v>613295</v>
      </c>
      <c r="AZ66" s="229">
        <v>694720</v>
      </c>
      <c r="BA66" s="230">
        <v>694720</v>
      </c>
      <c r="BB66" s="228">
        <v>0</v>
      </c>
      <c r="BC66" s="229">
        <v>0</v>
      </c>
      <c r="BD66" s="229">
        <v>0</v>
      </c>
      <c r="BE66" s="230">
        <v>0</v>
      </c>
      <c r="BF66" s="215">
        <v>752459</v>
      </c>
      <c r="BG66" s="216">
        <v>752459</v>
      </c>
      <c r="BH66" s="217">
        <v>0</v>
      </c>
      <c r="BI66" s="196">
        <f t="shared" si="0"/>
        <v>0</v>
      </c>
    </row>
    <row r="67" spans="2:61">
      <c r="B67" s="195" t="s">
        <v>294</v>
      </c>
      <c r="C67" s="207">
        <v>239853</v>
      </c>
      <c r="D67" s="208">
        <v>239853</v>
      </c>
      <c r="E67" s="209">
        <v>1</v>
      </c>
      <c r="F67" s="209">
        <v>0</v>
      </c>
      <c r="G67" s="215">
        <v>239853</v>
      </c>
      <c r="H67" s="216">
        <v>239853</v>
      </c>
      <c r="I67" s="217">
        <v>0</v>
      </c>
      <c r="J67" s="215">
        <v>8926</v>
      </c>
      <c r="K67" s="216">
        <v>8926</v>
      </c>
      <c r="L67" s="216">
        <v>0</v>
      </c>
      <c r="M67" s="215">
        <v>0</v>
      </c>
      <c r="N67" s="216">
        <v>0</v>
      </c>
      <c r="O67" s="216">
        <v>0</v>
      </c>
      <c r="P67" s="215">
        <v>0</v>
      </c>
      <c r="Q67" s="216">
        <v>0</v>
      </c>
      <c r="R67" s="216">
        <v>0</v>
      </c>
      <c r="S67" s="215">
        <v>0</v>
      </c>
      <c r="T67" s="216">
        <v>0</v>
      </c>
      <c r="U67" s="216">
        <v>0</v>
      </c>
      <c r="V67" s="215">
        <v>18017</v>
      </c>
      <c r="W67" s="216">
        <v>18017</v>
      </c>
      <c r="X67" s="216">
        <v>0</v>
      </c>
      <c r="Y67" s="218">
        <v>-2402</v>
      </c>
      <c r="Z67" s="213">
        <v>-2402</v>
      </c>
      <c r="AA67" s="213">
        <v>-2402</v>
      </c>
      <c r="AB67" s="213">
        <v>-2402</v>
      </c>
      <c r="AC67" s="213">
        <v>-2402</v>
      </c>
      <c r="AD67" s="214">
        <v>-6007</v>
      </c>
      <c r="AE67" s="218">
        <v>-2402</v>
      </c>
      <c r="AF67" s="213">
        <v>-2402</v>
      </c>
      <c r="AG67" s="213">
        <v>-2402</v>
      </c>
      <c r="AH67" s="213">
        <v>-2402</v>
      </c>
      <c r="AI67" s="213">
        <v>-2402</v>
      </c>
      <c r="AJ67" s="214">
        <v>-6007</v>
      </c>
      <c r="AK67" s="218">
        <v>0</v>
      </c>
      <c r="AL67" s="213">
        <v>0</v>
      </c>
      <c r="AM67" s="213">
        <v>0</v>
      </c>
      <c r="AN67" s="213">
        <v>0</v>
      </c>
      <c r="AO67" s="213">
        <v>0</v>
      </c>
      <c r="AP67" s="214">
        <v>0</v>
      </c>
      <c r="AQ67" s="215">
        <v>10510</v>
      </c>
      <c r="AR67" s="216">
        <v>10510</v>
      </c>
      <c r="AS67" s="217">
        <v>0</v>
      </c>
      <c r="AT67" s="228">
        <v>272910</v>
      </c>
      <c r="AU67" s="229">
        <v>212445</v>
      </c>
      <c r="AV67" s="229">
        <v>239853</v>
      </c>
      <c r="AW67" s="230">
        <v>239853</v>
      </c>
      <c r="AX67" s="228">
        <v>272910</v>
      </c>
      <c r="AY67" s="229">
        <v>212445</v>
      </c>
      <c r="AZ67" s="229">
        <v>239853</v>
      </c>
      <c r="BA67" s="230">
        <v>239853</v>
      </c>
      <c r="BB67" s="228">
        <v>0</v>
      </c>
      <c r="BC67" s="229">
        <v>0</v>
      </c>
      <c r="BD67" s="229">
        <v>0</v>
      </c>
      <c r="BE67" s="230">
        <v>0</v>
      </c>
      <c r="BF67" s="215">
        <v>258994</v>
      </c>
      <c r="BG67" s="216">
        <v>258994</v>
      </c>
      <c r="BH67" s="217">
        <v>0</v>
      </c>
      <c r="BI67" s="196">
        <f t="shared" si="0"/>
        <v>0</v>
      </c>
    </row>
    <row r="68" spans="2:61">
      <c r="B68" s="195" t="s">
        <v>295</v>
      </c>
      <c r="C68" s="207">
        <v>7319558</v>
      </c>
      <c r="D68" s="208">
        <v>3402755</v>
      </c>
      <c r="E68" s="209">
        <v>0.46488499999999999</v>
      </c>
      <c r="F68" s="209">
        <v>0.53511500000000001</v>
      </c>
      <c r="G68" s="215">
        <v>7319558</v>
      </c>
      <c r="H68" s="216">
        <v>3402753</v>
      </c>
      <c r="I68" s="217">
        <v>3916805</v>
      </c>
      <c r="J68" s="215">
        <v>328590</v>
      </c>
      <c r="K68" s="216">
        <v>152757</v>
      </c>
      <c r="L68" s="216">
        <v>175833</v>
      </c>
      <c r="M68" s="215">
        <v>0</v>
      </c>
      <c r="N68" s="216">
        <v>0</v>
      </c>
      <c r="O68" s="216">
        <v>0</v>
      </c>
      <c r="P68" s="215">
        <v>0</v>
      </c>
      <c r="Q68" s="216">
        <v>0</v>
      </c>
      <c r="R68" s="216">
        <v>0</v>
      </c>
      <c r="S68" s="215">
        <v>0</v>
      </c>
      <c r="T68" s="216">
        <v>0</v>
      </c>
      <c r="U68" s="216">
        <v>0</v>
      </c>
      <c r="V68" s="215">
        <v>595182</v>
      </c>
      <c r="W68" s="216">
        <v>276691</v>
      </c>
      <c r="X68" s="216">
        <v>318491</v>
      </c>
      <c r="Y68" s="218">
        <v>-77296</v>
      </c>
      <c r="Z68" s="213">
        <v>-77296</v>
      </c>
      <c r="AA68" s="213">
        <v>-77296</v>
      </c>
      <c r="AB68" s="213">
        <v>-77296</v>
      </c>
      <c r="AC68" s="213">
        <v>-77296</v>
      </c>
      <c r="AD68" s="214">
        <v>-208702</v>
      </c>
      <c r="AE68" s="218">
        <v>-35933.750959999998</v>
      </c>
      <c r="AF68" s="213">
        <v>-35933.750959999998</v>
      </c>
      <c r="AG68" s="213">
        <v>-35933.750959999998</v>
      </c>
      <c r="AH68" s="213">
        <v>-35933.750959999998</v>
      </c>
      <c r="AI68" s="213">
        <v>-35933.750959999998</v>
      </c>
      <c r="AJ68" s="214">
        <v>-97022.429269999993</v>
      </c>
      <c r="AK68" s="218">
        <v>-41362.249040000002</v>
      </c>
      <c r="AL68" s="213">
        <v>-41362.249040000002</v>
      </c>
      <c r="AM68" s="213">
        <v>-41362.249040000002</v>
      </c>
      <c r="AN68" s="213">
        <v>-41362.249040000002</v>
      </c>
      <c r="AO68" s="213">
        <v>-41362.249040000002</v>
      </c>
      <c r="AP68" s="214">
        <v>-111679.57073000001</v>
      </c>
      <c r="AQ68" s="215">
        <v>284323</v>
      </c>
      <c r="AR68" s="216">
        <v>140243</v>
      </c>
      <c r="AS68" s="217">
        <v>144080</v>
      </c>
      <c r="AT68" s="228">
        <v>8409130</v>
      </c>
      <c r="AU68" s="229">
        <v>6423273</v>
      </c>
      <c r="AV68" s="229">
        <v>7319558</v>
      </c>
      <c r="AW68" s="230">
        <v>7319558</v>
      </c>
      <c r="AX68" s="228">
        <v>3908601</v>
      </c>
      <c r="AY68" s="229">
        <v>2987470</v>
      </c>
      <c r="AZ68" s="229">
        <v>3402755</v>
      </c>
      <c r="BA68" s="230">
        <v>3402755</v>
      </c>
      <c r="BB68" s="228">
        <v>4499851.5999499997</v>
      </c>
      <c r="BC68" s="229">
        <v>3437189.7313950001</v>
      </c>
      <c r="BD68" s="229">
        <v>3916805.27917</v>
      </c>
      <c r="BE68" s="230">
        <v>3916805.27917</v>
      </c>
      <c r="BF68" s="215">
        <v>7864250</v>
      </c>
      <c r="BG68" s="216">
        <v>3655972</v>
      </c>
      <c r="BH68" s="217">
        <v>4208278</v>
      </c>
      <c r="BI68" s="196">
        <f t="shared" si="0"/>
        <v>-291473</v>
      </c>
    </row>
    <row r="69" spans="2:61">
      <c r="B69" s="195" t="s">
        <v>454</v>
      </c>
      <c r="C69" s="207">
        <v>195377</v>
      </c>
      <c r="D69" s="208">
        <v>195377</v>
      </c>
      <c r="E69" s="209">
        <v>1</v>
      </c>
      <c r="F69" s="209">
        <v>0</v>
      </c>
      <c r="G69" s="215">
        <v>195377</v>
      </c>
      <c r="H69" s="216">
        <v>195377</v>
      </c>
      <c r="I69" s="217">
        <v>0</v>
      </c>
      <c r="J69" s="215">
        <v>10224</v>
      </c>
      <c r="K69" s="216">
        <v>10224</v>
      </c>
      <c r="L69" s="216">
        <v>0</v>
      </c>
      <c r="M69" s="215">
        <v>0</v>
      </c>
      <c r="N69" s="216">
        <v>0</v>
      </c>
      <c r="O69" s="216">
        <v>0</v>
      </c>
      <c r="P69" s="215">
        <v>0</v>
      </c>
      <c r="Q69" s="216">
        <v>0</v>
      </c>
      <c r="R69" s="216">
        <v>0</v>
      </c>
      <c r="S69" s="215">
        <v>0</v>
      </c>
      <c r="T69" s="216">
        <v>0</v>
      </c>
      <c r="U69" s="216">
        <v>0</v>
      </c>
      <c r="V69" s="215">
        <v>19983</v>
      </c>
      <c r="W69" s="216">
        <v>19983</v>
      </c>
      <c r="X69" s="216">
        <v>0</v>
      </c>
      <c r="Y69" s="218">
        <v>-1903</v>
      </c>
      <c r="Z69" s="213">
        <v>-1903</v>
      </c>
      <c r="AA69" s="213">
        <v>-1903</v>
      </c>
      <c r="AB69" s="213">
        <v>-1903</v>
      </c>
      <c r="AC69" s="213">
        <v>-1903</v>
      </c>
      <c r="AD69" s="214">
        <v>-10468</v>
      </c>
      <c r="AE69" s="218">
        <v>-1903</v>
      </c>
      <c r="AF69" s="213">
        <v>-1903</v>
      </c>
      <c r="AG69" s="213">
        <v>-1903</v>
      </c>
      <c r="AH69" s="213">
        <v>-1903</v>
      </c>
      <c r="AI69" s="213">
        <v>-1903</v>
      </c>
      <c r="AJ69" s="214">
        <v>-10468</v>
      </c>
      <c r="AK69" s="218">
        <v>0</v>
      </c>
      <c r="AL69" s="213">
        <v>0</v>
      </c>
      <c r="AM69" s="213">
        <v>0</v>
      </c>
      <c r="AN69" s="213">
        <v>0</v>
      </c>
      <c r="AO69" s="213">
        <v>0</v>
      </c>
      <c r="AP69" s="214">
        <v>0</v>
      </c>
      <c r="AQ69" s="215">
        <v>838</v>
      </c>
      <c r="AR69" s="216">
        <v>838</v>
      </c>
      <c r="AS69" s="217">
        <v>0</v>
      </c>
      <c r="AT69" s="228">
        <v>230932</v>
      </c>
      <c r="AU69" s="229">
        <v>166545</v>
      </c>
      <c r="AV69" s="229">
        <v>195377</v>
      </c>
      <c r="AW69" s="230">
        <v>195377</v>
      </c>
      <c r="AX69" s="228">
        <v>230932</v>
      </c>
      <c r="AY69" s="229">
        <v>166545</v>
      </c>
      <c r="AZ69" s="229">
        <v>195377</v>
      </c>
      <c r="BA69" s="230">
        <v>195377</v>
      </c>
      <c r="BB69" s="228">
        <v>0</v>
      </c>
      <c r="BC69" s="229">
        <v>0</v>
      </c>
      <c r="BD69" s="229">
        <v>0</v>
      </c>
      <c r="BE69" s="230">
        <v>0</v>
      </c>
      <c r="BF69" s="215">
        <v>205136</v>
      </c>
      <c r="BG69" s="216">
        <v>205136</v>
      </c>
      <c r="BH69" s="217">
        <v>0</v>
      </c>
      <c r="BI69" s="196">
        <f t="shared" si="0"/>
        <v>0</v>
      </c>
    </row>
    <row r="70" spans="2:61">
      <c r="B70" s="195" t="s">
        <v>455</v>
      </c>
      <c r="C70" s="207">
        <v>5037686</v>
      </c>
      <c r="D70" s="208">
        <v>5037686</v>
      </c>
      <c r="E70" s="209">
        <v>1</v>
      </c>
      <c r="F70" s="209">
        <v>0</v>
      </c>
      <c r="G70" s="215">
        <v>5037686</v>
      </c>
      <c r="H70" s="216">
        <v>5037686</v>
      </c>
      <c r="I70" s="217">
        <v>0</v>
      </c>
      <c r="J70" s="215">
        <v>293551</v>
      </c>
      <c r="K70" s="216">
        <v>293551</v>
      </c>
      <c r="L70" s="216">
        <v>0</v>
      </c>
      <c r="M70" s="215">
        <v>0</v>
      </c>
      <c r="N70" s="216">
        <v>0</v>
      </c>
      <c r="O70" s="216">
        <v>0</v>
      </c>
      <c r="P70" s="215">
        <v>0</v>
      </c>
      <c r="Q70" s="216">
        <v>0</v>
      </c>
      <c r="R70" s="216">
        <v>0</v>
      </c>
      <c r="S70" s="215">
        <v>0</v>
      </c>
      <c r="T70" s="216">
        <v>0</v>
      </c>
      <c r="U70" s="216">
        <v>0</v>
      </c>
      <c r="V70" s="215">
        <v>534432</v>
      </c>
      <c r="W70" s="216">
        <v>534432</v>
      </c>
      <c r="X70" s="216">
        <v>0</v>
      </c>
      <c r="Y70" s="218">
        <v>-50898</v>
      </c>
      <c r="Z70" s="213">
        <v>-50898</v>
      </c>
      <c r="AA70" s="213">
        <v>-50898</v>
      </c>
      <c r="AB70" s="213">
        <v>-50898</v>
      </c>
      <c r="AC70" s="213">
        <v>-50898</v>
      </c>
      <c r="AD70" s="214">
        <v>-279942</v>
      </c>
      <c r="AE70" s="218">
        <v>-50898</v>
      </c>
      <c r="AF70" s="213">
        <v>-50898</v>
      </c>
      <c r="AG70" s="213">
        <v>-50898</v>
      </c>
      <c r="AH70" s="213">
        <v>-50898</v>
      </c>
      <c r="AI70" s="213">
        <v>-50898</v>
      </c>
      <c r="AJ70" s="214">
        <v>-279942</v>
      </c>
      <c r="AK70" s="218">
        <v>0</v>
      </c>
      <c r="AL70" s="213">
        <v>0</v>
      </c>
      <c r="AM70" s="213">
        <v>0</v>
      </c>
      <c r="AN70" s="213">
        <v>0</v>
      </c>
      <c r="AO70" s="213">
        <v>0</v>
      </c>
      <c r="AP70" s="214">
        <v>0</v>
      </c>
      <c r="AQ70" s="215">
        <v>17948</v>
      </c>
      <c r="AR70" s="216">
        <v>17948</v>
      </c>
      <c r="AS70" s="217">
        <v>0</v>
      </c>
      <c r="AT70" s="228">
        <v>5989979</v>
      </c>
      <c r="AU70" s="229">
        <v>4269526</v>
      </c>
      <c r="AV70" s="229">
        <v>5037686</v>
      </c>
      <c r="AW70" s="230">
        <v>5037686</v>
      </c>
      <c r="AX70" s="228">
        <v>5989979</v>
      </c>
      <c r="AY70" s="229">
        <v>4269526</v>
      </c>
      <c r="AZ70" s="229">
        <v>5037686</v>
      </c>
      <c r="BA70" s="230">
        <v>5037686</v>
      </c>
      <c r="BB70" s="228">
        <v>0</v>
      </c>
      <c r="BC70" s="229">
        <v>0</v>
      </c>
      <c r="BD70" s="229">
        <v>0</v>
      </c>
      <c r="BE70" s="230">
        <v>0</v>
      </c>
      <c r="BF70" s="215">
        <v>5278567</v>
      </c>
      <c r="BG70" s="216">
        <v>5278567</v>
      </c>
      <c r="BH70" s="217">
        <v>0</v>
      </c>
      <c r="BI70" s="196">
        <f t="shared" ref="BI70:BI133" si="1">I70-BH70</f>
        <v>0</v>
      </c>
    </row>
    <row r="71" spans="2:61">
      <c r="B71" s="195" t="s">
        <v>296</v>
      </c>
      <c r="C71" s="207">
        <v>352689</v>
      </c>
      <c r="D71" s="208">
        <v>352689</v>
      </c>
      <c r="E71" s="209">
        <v>1</v>
      </c>
      <c r="F71" s="209">
        <v>0</v>
      </c>
      <c r="G71" s="215">
        <v>352689</v>
      </c>
      <c r="H71" s="216">
        <v>352689</v>
      </c>
      <c r="I71" s="217">
        <v>0</v>
      </c>
      <c r="J71" s="215">
        <v>16611</v>
      </c>
      <c r="K71" s="216">
        <v>16611</v>
      </c>
      <c r="L71" s="216">
        <v>0</v>
      </c>
      <c r="M71" s="215">
        <v>0</v>
      </c>
      <c r="N71" s="216">
        <v>0</v>
      </c>
      <c r="O71" s="216">
        <v>0</v>
      </c>
      <c r="P71" s="215">
        <v>0</v>
      </c>
      <c r="Q71" s="216">
        <v>0</v>
      </c>
      <c r="R71" s="216">
        <v>0</v>
      </c>
      <c r="S71" s="215">
        <v>0</v>
      </c>
      <c r="T71" s="216">
        <v>0</v>
      </c>
      <c r="U71" s="216">
        <v>0</v>
      </c>
      <c r="V71" s="215">
        <v>28396</v>
      </c>
      <c r="W71" s="216">
        <v>28396</v>
      </c>
      <c r="X71" s="216">
        <v>0</v>
      </c>
      <c r="Y71" s="218">
        <v>-3380</v>
      </c>
      <c r="Z71" s="213">
        <v>-3380</v>
      </c>
      <c r="AA71" s="213">
        <v>-3380</v>
      </c>
      <c r="AB71" s="213">
        <v>-3380</v>
      </c>
      <c r="AC71" s="213">
        <v>-3380</v>
      </c>
      <c r="AD71" s="214">
        <v>-11496</v>
      </c>
      <c r="AE71" s="218">
        <v>-3380</v>
      </c>
      <c r="AF71" s="213">
        <v>-3380</v>
      </c>
      <c r="AG71" s="213">
        <v>-3380</v>
      </c>
      <c r="AH71" s="213">
        <v>-3380</v>
      </c>
      <c r="AI71" s="213">
        <v>-3380</v>
      </c>
      <c r="AJ71" s="214">
        <v>-11496</v>
      </c>
      <c r="AK71" s="218">
        <v>0</v>
      </c>
      <c r="AL71" s="213">
        <v>0</v>
      </c>
      <c r="AM71" s="213">
        <v>0</v>
      </c>
      <c r="AN71" s="213">
        <v>0</v>
      </c>
      <c r="AO71" s="213">
        <v>0</v>
      </c>
      <c r="AP71" s="214">
        <v>0</v>
      </c>
      <c r="AQ71" s="215">
        <v>12923</v>
      </c>
      <c r="AR71" s="216">
        <v>12923</v>
      </c>
      <c r="AS71" s="217">
        <v>0</v>
      </c>
      <c r="AT71" s="228">
        <v>404097</v>
      </c>
      <c r="AU71" s="229">
        <v>310030</v>
      </c>
      <c r="AV71" s="229">
        <v>352689</v>
      </c>
      <c r="AW71" s="230">
        <v>352689</v>
      </c>
      <c r="AX71" s="228">
        <v>404097</v>
      </c>
      <c r="AY71" s="229">
        <v>310030</v>
      </c>
      <c r="AZ71" s="229">
        <v>352689</v>
      </c>
      <c r="BA71" s="230">
        <v>352689</v>
      </c>
      <c r="BB71" s="228">
        <v>0</v>
      </c>
      <c r="BC71" s="229">
        <v>0</v>
      </c>
      <c r="BD71" s="229">
        <v>0</v>
      </c>
      <c r="BE71" s="230">
        <v>0</v>
      </c>
      <c r="BF71" s="215">
        <v>377074</v>
      </c>
      <c r="BG71" s="216">
        <v>377074</v>
      </c>
      <c r="BH71" s="217">
        <v>0</v>
      </c>
      <c r="BI71" s="196">
        <f t="shared" si="1"/>
        <v>0</v>
      </c>
    </row>
    <row r="72" spans="2:61">
      <c r="B72" s="195" t="s">
        <v>297</v>
      </c>
      <c r="C72" s="207">
        <v>1074711</v>
      </c>
      <c r="D72" s="208">
        <v>1074711</v>
      </c>
      <c r="E72" s="209">
        <v>1</v>
      </c>
      <c r="F72" s="209">
        <v>0</v>
      </c>
      <c r="G72" s="215">
        <v>1074711</v>
      </c>
      <c r="H72" s="216">
        <v>1074711</v>
      </c>
      <c r="I72" s="217">
        <v>0</v>
      </c>
      <c r="J72" s="215">
        <v>47243</v>
      </c>
      <c r="K72" s="216">
        <v>47243</v>
      </c>
      <c r="L72" s="216">
        <v>0</v>
      </c>
      <c r="M72" s="215">
        <v>0</v>
      </c>
      <c r="N72" s="216">
        <v>0</v>
      </c>
      <c r="O72" s="216">
        <v>0</v>
      </c>
      <c r="P72" s="215">
        <v>0</v>
      </c>
      <c r="Q72" s="216">
        <v>0</v>
      </c>
      <c r="R72" s="216">
        <v>0</v>
      </c>
      <c r="S72" s="215">
        <v>0</v>
      </c>
      <c r="T72" s="216">
        <v>0</v>
      </c>
      <c r="U72" s="216">
        <v>0</v>
      </c>
      <c r="V72" s="215">
        <v>89488</v>
      </c>
      <c r="W72" s="216">
        <v>89488</v>
      </c>
      <c r="X72" s="216">
        <v>0</v>
      </c>
      <c r="Y72" s="218">
        <v>-11932</v>
      </c>
      <c r="Z72" s="213">
        <v>-11932</v>
      </c>
      <c r="AA72" s="213">
        <v>-11932</v>
      </c>
      <c r="AB72" s="213">
        <v>-11932</v>
      </c>
      <c r="AC72" s="213">
        <v>-11932</v>
      </c>
      <c r="AD72" s="214">
        <v>-29828</v>
      </c>
      <c r="AE72" s="218">
        <v>-11932</v>
      </c>
      <c r="AF72" s="213">
        <v>-11932</v>
      </c>
      <c r="AG72" s="213">
        <v>-11932</v>
      </c>
      <c r="AH72" s="213">
        <v>-11932</v>
      </c>
      <c r="AI72" s="213">
        <v>-11932</v>
      </c>
      <c r="AJ72" s="214">
        <v>-29828</v>
      </c>
      <c r="AK72" s="218">
        <v>0</v>
      </c>
      <c r="AL72" s="213">
        <v>0</v>
      </c>
      <c r="AM72" s="213">
        <v>0</v>
      </c>
      <c r="AN72" s="213">
        <v>0</v>
      </c>
      <c r="AO72" s="213">
        <v>0</v>
      </c>
      <c r="AP72" s="214">
        <v>0</v>
      </c>
      <c r="AQ72" s="215">
        <v>41575</v>
      </c>
      <c r="AR72" s="216">
        <v>41575</v>
      </c>
      <c r="AS72" s="217">
        <v>0</v>
      </c>
      <c r="AT72" s="228">
        <v>1239128</v>
      </c>
      <c r="AU72" s="229">
        <v>940114</v>
      </c>
      <c r="AV72" s="229">
        <v>1074711</v>
      </c>
      <c r="AW72" s="230">
        <v>1074711</v>
      </c>
      <c r="AX72" s="228">
        <v>1239128</v>
      </c>
      <c r="AY72" s="229">
        <v>940114</v>
      </c>
      <c r="AZ72" s="229">
        <v>1074711</v>
      </c>
      <c r="BA72" s="230">
        <v>1074711</v>
      </c>
      <c r="BB72" s="228">
        <v>0</v>
      </c>
      <c r="BC72" s="229">
        <v>0</v>
      </c>
      <c r="BD72" s="229">
        <v>0</v>
      </c>
      <c r="BE72" s="230">
        <v>0</v>
      </c>
      <c r="BF72" s="215">
        <v>1158506</v>
      </c>
      <c r="BG72" s="216">
        <v>1158506</v>
      </c>
      <c r="BH72" s="217">
        <v>0</v>
      </c>
      <c r="BI72" s="196">
        <f t="shared" si="1"/>
        <v>0</v>
      </c>
    </row>
    <row r="73" spans="2:61">
      <c r="B73" s="195" t="s">
        <v>298</v>
      </c>
      <c r="C73" s="207">
        <v>1308720</v>
      </c>
      <c r="D73" s="208">
        <v>1308720</v>
      </c>
      <c r="E73" s="209">
        <v>1</v>
      </c>
      <c r="F73" s="209">
        <v>0</v>
      </c>
      <c r="G73" s="215">
        <v>1308720</v>
      </c>
      <c r="H73" s="216">
        <v>1308720</v>
      </c>
      <c r="I73" s="217">
        <v>0</v>
      </c>
      <c r="J73" s="215">
        <v>49977</v>
      </c>
      <c r="K73" s="216">
        <v>49977</v>
      </c>
      <c r="L73" s="216">
        <v>0</v>
      </c>
      <c r="M73" s="215">
        <v>0</v>
      </c>
      <c r="N73" s="216">
        <v>0</v>
      </c>
      <c r="O73" s="216">
        <v>0</v>
      </c>
      <c r="P73" s="215">
        <v>0</v>
      </c>
      <c r="Q73" s="216">
        <v>0</v>
      </c>
      <c r="R73" s="216">
        <v>0</v>
      </c>
      <c r="S73" s="215">
        <v>0</v>
      </c>
      <c r="T73" s="216">
        <v>0</v>
      </c>
      <c r="U73" s="216">
        <v>0</v>
      </c>
      <c r="V73" s="215">
        <v>100435</v>
      </c>
      <c r="W73" s="216">
        <v>100435</v>
      </c>
      <c r="X73" s="216">
        <v>0</v>
      </c>
      <c r="Y73" s="218">
        <v>-14990</v>
      </c>
      <c r="Z73" s="213">
        <v>-14990</v>
      </c>
      <c r="AA73" s="213">
        <v>-14990</v>
      </c>
      <c r="AB73" s="213">
        <v>-14990</v>
      </c>
      <c r="AC73" s="213">
        <v>-14990</v>
      </c>
      <c r="AD73" s="214">
        <v>-25485</v>
      </c>
      <c r="AE73" s="218">
        <v>-14990</v>
      </c>
      <c r="AF73" s="213">
        <v>-14990</v>
      </c>
      <c r="AG73" s="213">
        <v>-14990</v>
      </c>
      <c r="AH73" s="213">
        <v>-14990</v>
      </c>
      <c r="AI73" s="213">
        <v>-14990</v>
      </c>
      <c r="AJ73" s="214">
        <v>-25485</v>
      </c>
      <c r="AK73" s="218">
        <v>0</v>
      </c>
      <c r="AL73" s="213">
        <v>0</v>
      </c>
      <c r="AM73" s="213">
        <v>0</v>
      </c>
      <c r="AN73" s="213">
        <v>0</v>
      </c>
      <c r="AO73" s="213">
        <v>0</v>
      </c>
      <c r="AP73" s="214">
        <v>0</v>
      </c>
      <c r="AQ73" s="215">
        <v>51293</v>
      </c>
      <c r="AR73" s="216">
        <v>51293</v>
      </c>
      <c r="AS73" s="217">
        <v>0</v>
      </c>
      <c r="AT73" s="228">
        <v>1495376</v>
      </c>
      <c r="AU73" s="229">
        <v>1154021</v>
      </c>
      <c r="AV73" s="229">
        <v>1308720</v>
      </c>
      <c r="AW73" s="230">
        <v>1308720</v>
      </c>
      <c r="AX73" s="228">
        <v>1495376</v>
      </c>
      <c r="AY73" s="229">
        <v>1154021</v>
      </c>
      <c r="AZ73" s="229">
        <v>1308720</v>
      </c>
      <c r="BA73" s="230">
        <v>1308720</v>
      </c>
      <c r="BB73" s="228">
        <v>0</v>
      </c>
      <c r="BC73" s="229">
        <v>0</v>
      </c>
      <c r="BD73" s="229">
        <v>0</v>
      </c>
      <c r="BE73" s="230">
        <v>0</v>
      </c>
      <c r="BF73" s="215">
        <v>1409728</v>
      </c>
      <c r="BG73" s="216">
        <v>1409728</v>
      </c>
      <c r="BH73" s="217">
        <v>0</v>
      </c>
      <c r="BI73" s="196">
        <f t="shared" si="1"/>
        <v>0</v>
      </c>
    </row>
    <row r="74" spans="2:61">
      <c r="B74" s="195" t="s">
        <v>299</v>
      </c>
      <c r="C74" s="207">
        <v>0</v>
      </c>
      <c r="D74" s="208">
        <v>0</v>
      </c>
      <c r="E74" s="209">
        <v>0</v>
      </c>
      <c r="F74" s="209">
        <v>1</v>
      </c>
      <c r="G74" s="215">
        <v>0</v>
      </c>
      <c r="H74" s="216">
        <v>0</v>
      </c>
      <c r="I74" s="217">
        <v>0</v>
      </c>
      <c r="J74" s="215">
        <v>0</v>
      </c>
      <c r="K74" s="216">
        <v>0</v>
      </c>
      <c r="L74" s="216">
        <v>0</v>
      </c>
      <c r="M74" s="215">
        <v>0</v>
      </c>
      <c r="N74" s="216">
        <v>0</v>
      </c>
      <c r="O74" s="216">
        <v>0</v>
      </c>
      <c r="P74" s="215">
        <v>0</v>
      </c>
      <c r="Q74" s="216">
        <v>0</v>
      </c>
      <c r="R74" s="216">
        <v>0</v>
      </c>
      <c r="S74" s="215">
        <v>0</v>
      </c>
      <c r="T74" s="216">
        <v>0</v>
      </c>
      <c r="U74" s="216">
        <v>0</v>
      </c>
      <c r="V74" s="215">
        <v>0</v>
      </c>
      <c r="W74" s="216">
        <v>0</v>
      </c>
      <c r="X74" s="216">
        <v>0</v>
      </c>
      <c r="Y74" s="218">
        <v>0</v>
      </c>
      <c r="Z74" s="213">
        <v>0</v>
      </c>
      <c r="AA74" s="213">
        <v>0</v>
      </c>
      <c r="AB74" s="213">
        <v>0</v>
      </c>
      <c r="AC74" s="213">
        <v>0</v>
      </c>
      <c r="AD74" s="214">
        <v>0</v>
      </c>
      <c r="AE74" s="218">
        <v>0</v>
      </c>
      <c r="AF74" s="213">
        <v>0</v>
      </c>
      <c r="AG74" s="213">
        <v>0</v>
      </c>
      <c r="AH74" s="213">
        <v>0</v>
      </c>
      <c r="AI74" s="213">
        <v>0</v>
      </c>
      <c r="AJ74" s="214">
        <v>0</v>
      </c>
      <c r="AK74" s="218">
        <v>0</v>
      </c>
      <c r="AL74" s="213">
        <v>0</v>
      </c>
      <c r="AM74" s="213">
        <v>0</v>
      </c>
      <c r="AN74" s="213">
        <v>0</v>
      </c>
      <c r="AO74" s="213">
        <v>0</v>
      </c>
      <c r="AP74" s="214">
        <v>0</v>
      </c>
      <c r="AQ74" s="215">
        <v>0</v>
      </c>
      <c r="AR74" s="216">
        <v>0</v>
      </c>
      <c r="AS74" s="217">
        <v>0</v>
      </c>
      <c r="AT74" s="228">
        <v>0</v>
      </c>
      <c r="AU74" s="229">
        <v>0</v>
      </c>
      <c r="AV74" s="229">
        <v>0</v>
      </c>
      <c r="AW74" s="230">
        <v>0</v>
      </c>
      <c r="AX74" s="228">
        <v>0</v>
      </c>
      <c r="AY74" s="229">
        <v>0</v>
      </c>
      <c r="AZ74" s="229">
        <v>0</v>
      </c>
      <c r="BA74" s="230">
        <v>0</v>
      </c>
      <c r="BB74" s="228">
        <v>0</v>
      </c>
      <c r="BC74" s="229">
        <v>0</v>
      </c>
      <c r="BD74" s="229">
        <v>0</v>
      </c>
      <c r="BE74" s="230">
        <v>0</v>
      </c>
      <c r="BF74" s="215">
        <v>0</v>
      </c>
      <c r="BG74" s="216">
        <v>0</v>
      </c>
      <c r="BH74" s="217">
        <v>0</v>
      </c>
      <c r="BI74" s="196">
        <f t="shared" si="1"/>
        <v>0</v>
      </c>
    </row>
    <row r="75" spans="2:61">
      <c r="B75" s="195" t="s">
        <v>300</v>
      </c>
      <c r="C75" s="207">
        <v>5931944</v>
      </c>
      <c r="D75" s="208">
        <v>2421006</v>
      </c>
      <c r="E75" s="209">
        <v>0.40812999999999999</v>
      </c>
      <c r="F75" s="209">
        <v>0.59187000000000001</v>
      </c>
      <c r="G75" s="215">
        <v>5931944</v>
      </c>
      <c r="H75" s="216">
        <v>2421004</v>
      </c>
      <c r="I75" s="217">
        <v>3510940</v>
      </c>
      <c r="J75" s="215">
        <v>332042</v>
      </c>
      <c r="K75" s="216">
        <v>135516</v>
      </c>
      <c r="L75" s="216">
        <v>196526</v>
      </c>
      <c r="M75" s="215">
        <v>0</v>
      </c>
      <c r="N75" s="216">
        <v>0</v>
      </c>
      <c r="O75" s="216">
        <v>0</v>
      </c>
      <c r="P75" s="215">
        <v>0</v>
      </c>
      <c r="Q75" s="216">
        <v>0</v>
      </c>
      <c r="R75" s="216">
        <v>0</v>
      </c>
      <c r="S75" s="215">
        <v>0</v>
      </c>
      <c r="T75" s="216">
        <v>0</v>
      </c>
      <c r="U75" s="216">
        <v>0</v>
      </c>
      <c r="V75" s="215">
        <v>517570</v>
      </c>
      <c r="W75" s="216">
        <v>211236</v>
      </c>
      <c r="X75" s="216">
        <v>306334</v>
      </c>
      <c r="Y75" s="218">
        <v>-63118</v>
      </c>
      <c r="Z75" s="213">
        <v>-63118</v>
      </c>
      <c r="AA75" s="213">
        <v>-63118</v>
      </c>
      <c r="AB75" s="213">
        <v>-63118</v>
      </c>
      <c r="AC75" s="213">
        <v>-63118</v>
      </c>
      <c r="AD75" s="214">
        <v>-201980</v>
      </c>
      <c r="AE75" s="218">
        <v>-25760.349340000001</v>
      </c>
      <c r="AF75" s="213">
        <v>-25760.349340000001</v>
      </c>
      <c r="AG75" s="213">
        <v>-25760.349340000001</v>
      </c>
      <c r="AH75" s="213">
        <v>-25760.349340000001</v>
      </c>
      <c r="AI75" s="213">
        <v>-25760.349340000001</v>
      </c>
      <c r="AJ75" s="214">
        <v>-82434.097399999999</v>
      </c>
      <c r="AK75" s="218">
        <v>-37357.650659999999</v>
      </c>
      <c r="AL75" s="213">
        <v>-37357.650659999999</v>
      </c>
      <c r="AM75" s="213">
        <v>-37357.650659999999</v>
      </c>
      <c r="AN75" s="213">
        <v>-37357.650659999999</v>
      </c>
      <c r="AO75" s="213">
        <v>-37357.650659999999</v>
      </c>
      <c r="AP75" s="214">
        <v>-119545.9026</v>
      </c>
      <c r="AQ75" s="215">
        <v>173016</v>
      </c>
      <c r="AR75" s="216">
        <v>83119</v>
      </c>
      <c r="AS75" s="217">
        <v>89897</v>
      </c>
      <c r="AT75" s="228">
        <v>6873959</v>
      </c>
      <c r="AU75" s="229">
        <v>5158960</v>
      </c>
      <c r="AV75" s="229">
        <v>5931944</v>
      </c>
      <c r="AW75" s="230">
        <v>5931944</v>
      </c>
      <c r="AX75" s="228">
        <v>2803694</v>
      </c>
      <c r="AY75" s="229">
        <v>2108296</v>
      </c>
      <c r="AZ75" s="229">
        <v>2421006</v>
      </c>
      <c r="BA75" s="230">
        <v>2421006</v>
      </c>
      <c r="BB75" s="228">
        <v>4068490.1133300001</v>
      </c>
      <c r="BC75" s="229">
        <v>3053433.6551999999</v>
      </c>
      <c r="BD75" s="229">
        <v>3510939.6952800001</v>
      </c>
      <c r="BE75" s="230">
        <v>3510939.6952800001</v>
      </c>
      <c r="BF75" s="215">
        <v>6281572</v>
      </c>
      <c r="BG75" s="216">
        <v>2563698</v>
      </c>
      <c r="BH75" s="217">
        <v>3717874</v>
      </c>
      <c r="BI75" s="196">
        <f t="shared" si="1"/>
        <v>-206934</v>
      </c>
    </row>
    <row r="76" spans="2:61">
      <c r="B76" s="195" t="s">
        <v>301</v>
      </c>
      <c r="C76" s="207">
        <v>929497</v>
      </c>
      <c r="D76" s="208">
        <v>929497</v>
      </c>
      <c r="E76" s="209">
        <v>1</v>
      </c>
      <c r="F76" s="209">
        <v>0</v>
      </c>
      <c r="G76" s="215">
        <v>929497</v>
      </c>
      <c r="H76" s="216">
        <v>929497</v>
      </c>
      <c r="I76" s="217">
        <v>0</v>
      </c>
      <c r="J76" s="215">
        <v>38673</v>
      </c>
      <c r="K76" s="216">
        <v>38673</v>
      </c>
      <c r="L76" s="216">
        <v>0</v>
      </c>
      <c r="M76" s="215">
        <v>0</v>
      </c>
      <c r="N76" s="216">
        <v>0</v>
      </c>
      <c r="O76" s="216">
        <v>0</v>
      </c>
      <c r="P76" s="215">
        <v>0</v>
      </c>
      <c r="Q76" s="216">
        <v>0</v>
      </c>
      <c r="R76" s="216">
        <v>0</v>
      </c>
      <c r="S76" s="215">
        <v>0</v>
      </c>
      <c r="T76" s="216">
        <v>0</v>
      </c>
      <c r="U76" s="216">
        <v>0</v>
      </c>
      <c r="V76" s="215">
        <v>69023</v>
      </c>
      <c r="W76" s="216">
        <v>69023</v>
      </c>
      <c r="X76" s="216">
        <v>0</v>
      </c>
      <c r="Y76" s="218">
        <v>-9587</v>
      </c>
      <c r="Z76" s="213">
        <v>-9587</v>
      </c>
      <c r="AA76" s="213">
        <v>-9587</v>
      </c>
      <c r="AB76" s="213">
        <v>-9587</v>
      </c>
      <c r="AC76" s="213">
        <v>-9587</v>
      </c>
      <c r="AD76" s="214">
        <v>-21088</v>
      </c>
      <c r="AE76" s="218">
        <v>-9587</v>
      </c>
      <c r="AF76" s="213">
        <v>-9587</v>
      </c>
      <c r="AG76" s="213">
        <v>-9587</v>
      </c>
      <c r="AH76" s="213">
        <v>-9587</v>
      </c>
      <c r="AI76" s="213">
        <v>-9587</v>
      </c>
      <c r="AJ76" s="214">
        <v>-21088</v>
      </c>
      <c r="AK76" s="218">
        <v>0</v>
      </c>
      <c r="AL76" s="213">
        <v>0</v>
      </c>
      <c r="AM76" s="213">
        <v>0</v>
      </c>
      <c r="AN76" s="213">
        <v>0</v>
      </c>
      <c r="AO76" s="213">
        <v>0</v>
      </c>
      <c r="AP76" s="214">
        <v>0</v>
      </c>
      <c r="AQ76" s="215">
        <v>46671</v>
      </c>
      <c r="AR76" s="216">
        <v>46671</v>
      </c>
      <c r="AS76" s="217">
        <v>0</v>
      </c>
      <c r="AT76" s="228">
        <v>1056706</v>
      </c>
      <c r="AU76" s="229">
        <v>824199</v>
      </c>
      <c r="AV76" s="229">
        <v>929497</v>
      </c>
      <c r="AW76" s="230">
        <v>929497</v>
      </c>
      <c r="AX76" s="228">
        <v>1056706</v>
      </c>
      <c r="AY76" s="229">
        <v>824199</v>
      </c>
      <c r="AZ76" s="229">
        <v>929497</v>
      </c>
      <c r="BA76" s="230">
        <v>929497</v>
      </c>
      <c r="BB76" s="228">
        <v>0</v>
      </c>
      <c r="BC76" s="229">
        <v>0</v>
      </c>
      <c r="BD76" s="229">
        <v>0</v>
      </c>
      <c r="BE76" s="230">
        <v>0</v>
      </c>
      <c r="BF76" s="215">
        <v>1006347</v>
      </c>
      <c r="BG76" s="216">
        <v>1006347</v>
      </c>
      <c r="BH76" s="217">
        <v>0</v>
      </c>
      <c r="BI76" s="196">
        <f t="shared" si="1"/>
        <v>0</v>
      </c>
    </row>
    <row r="77" spans="2:61">
      <c r="B77" s="195" t="s">
        <v>302</v>
      </c>
      <c r="C77" s="207">
        <v>927661</v>
      </c>
      <c r="D77" s="208">
        <v>927661</v>
      </c>
      <c r="E77" s="209">
        <v>1</v>
      </c>
      <c r="F77" s="209">
        <v>0</v>
      </c>
      <c r="G77" s="215">
        <v>927661</v>
      </c>
      <c r="H77" s="216">
        <v>927661</v>
      </c>
      <c r="I77" s="217">
        <v>0</v>
      </c>
      <c r="J77" s="215">
        <v>44223</v>
      </c>
      <c r="K77" s="216">
        <v>44223</v>
      </c>
      <c r="L77" s="216">
        <v>0</v>
      </c>
      <c r="M77" s="215">
        <v>0</v>
      </c>
      <c r="N77" s="216">
        <v>0</v>
      </c>
      <c r="O77" s="216">
        <v>0</v>
      </c>
      <c r="P77" s="215">
        <v>0</v>
      </c>
      <c r="Q77" s="216">
        <v>0</v>
      </c>
      <c r="R77" s="216">
        <v>0</v>
      </c>
      <c r="S77" s="215">
        <v>0</v>
      </c>
      <c r="T77" s="216">
        <v>0</v>
      </c>
      <c r="U77" s="216">
        <v>0</v>
      </c>
      <c r="V77" s="215">
        <v>77371</v>
      </c>
      <c r="W77" s="216">
        <v>77371</v>
      </c>
      <c r="X77" s="216">
        <v>0</v>
      </c>
      <c r="Y77" s="218">
        <v>-9102</v>
      </c>
      <c r="Z77" s="213">
        <v>-9102</v>
      </c>
      <c r="AA77" s="213">
        <v>-9102</v>
      </c>
      <c r="AB77" s="213">
        <v>-9102</v>
      </c>
      <c r="AC77" s="213">
        <v>-9102</v>
      </c>
      <c r="AD77" s="214">
        <v>-31861</v>
      </c>
      <c r="AE77" s="218">
        <v>-9102</v>
      </c>
      <c r="AF77" s="213">
        <v>-9102</v>
      </c>
      <c r="AG77" s="213">
        <v>-9102</v>
      </c>
      <c r="AH77" s="213">
        <v>-9102</v>
      </c>
      <c r="AI77" s="213">
        <v>-9102</v>
      </c>
      <c r="AJ77" s="214">
        <v>-31861</v>
      </c>
      <c r="AK77" s="218">
        <v>0</v>
      </c>
      <c r="AL77" s="213">
        <v>0</v>
      </c>
      <c r="AM77" s="213">
        <v>0</v>
      </c>
      <c r="AN77" s="213">
        <v>0</v>
      </c>
      <c r="AO77" s="213">
        <v>0</v>
      </c>
      <c r="AP77" s="214">
        <v>0</v>
      </c>
      <c r="AQ77" s="215">
        <v>37382</v>
      </c>
      <c r="AR77" s="216">
        <v>37382</v>
      </c>
      <c r="AS77" s="217">
        <v>0</v>
      </c>
      <c r="AT77" s="228">
        <v>1067577</v>
      </c>
      <c r="AU77" s="229">
        <v>812623</v>
      </c>
      <c r="AV77" s="229">
        <v>927661</v>
      </c>
      <c r="AW77" s="230">
        <v>927661</v>
      </c>
      <c r="AX77" s="228">
        <v>1067577</v>
      </c>
      <c r="AY77" s="229">
        <v>812623</v>
      </c>
      <c r="AZ77" s="229">
        <v>927661</v>
      </c>
      <c r="BA77" s="230">
        <v>927661</v>
      </c>
      <c r="BB77" s="228">
        <v>0</v>
      </c>
      <c r="BC77" s="229">
        <v>0</v>
      </c>
      <c r="BD77" s="229">
        <v>0</v>
      </c>
      <c r="BE77" s="230">
        <v>0</v>
      </c>
      <c r="BF77" s="215">
        <v>998159</v>
      </c>
      <c r="BG77" s="216">
        <v>998159</v>
      </c>
      <c r="BH77" s="217">
        <v>0</v>
      </c>
      <c r="BI77" s="196">
        <f t="shared" si="1"/>
        <v>0</v>
      </c>
    </row>
    <row r="78" spans="2:61">
      <c r="B78" s="195" t="s">
        <v>303</v>
      </c>
      <c r="C78" s="207">
        <v>809927</v>
      </c>
      <c r="D78" s="208">
        <v>809927</v>
      </c>
      <c r="E78" s="209">
        <v>1</v>
      </c>
      <c r="F78" s="209">
        <v>0</v>
      </c>
      <c r="G78" s="215">
        <v>809927</v>
      </c>
      <c r="H78" s="216">
        <v>809927</v>
      </c>
      <c r="I78" s="217">
        <v>0</v>
      </c>
      <c r="J78" s="215">
        <v>33828</v>
      </c>
      <c r="K78" s="216">
        <v>33828</v>
      </c>
      <c r="L78" s="216">
        <v>0</v>
      </c>
      <c r="M78" s="215">
        <v>0</v>
      </c>
      <c r="N78" s="216">
        <v>0</v>
      </c>
      <c r="O78" s="216">
        <v>0</v>
      </c>
      <c r="P78" s="215">
        <v>0</v>
      </c>
      <c r="Q78" s="216">
        <v>0</v>
      </c>
      <c r="R78" s="216">
        <v>0</v>
      </c>
      <c r="S78" s="215">
        <v>0</v>
      </c>
      <c r="T78" s="216">
        <v>0</v>
      </c>
      <c r="U78" s="216">
        <v>0</v>
      </c>
      <c r="V78" s="215">
        <v>63812</v>
      </c>
      <c r="W78" s="216">
        <v>63812</v>
      </c>
      <c r="X78" s="216">
        <v>0</v>
      </c>
      <c r="Y78" s="218">
        <v>-8181</v>
      </c>
      <c r="Z78" s="213">
        <v>-8181</v>
      </c>
      <c r="AA78" s="213">
        <v>-8181</v>
      </c>
      <c r="AB78" s="213">
        <v>-8181</v>
      </c>
      <c r="AC78" s="213">
        <v>-8181</v>
      </c>
      <c r="AD78" s="214">
        <v>-22907</v>
      </c>
      <c r="AE78" s="218">
        <v>-8181</v>
      </c>
      <c r="AF78" s="213">
        <v>-8181</v>
      </c>
      <c r="AG78" s="213">
        <v>-8181</v>
      </c>
      <c r="AH78" s="213">
        <v>-8181</v>
      </c>
      <c r="AI78" s="213">
        <v>-8181</v>
      </c>
      <c r="AJ78" s="214">
        <v>-22907</v>
      </c>
      <c r="AK78" s="218">
        <v>0</v>
      </c>
      <c r="AL78" s="213">
        <v>0</v>
      </c>
      <c r="AM78" s="213">
        <v>0</v>
      </c>
      <c r="AN78" s="213">
        <v>0</v>
      </c>
      <c r="AO78" s="213">
        <v>0</v>
      </c>
      <c r="AP78" s="214">
        <v>0</v>
      </c>
      <c r="AQ78" s="215">
        <v>37346</v>
      </c>
      <c r="AR78" s="216">
        <v>37346</v>
      </c>
      <c r="AS78" s="217">
        <v>0</v>
      </c>
      <c r="AT78" s="228">
        <v>926593</v>
      </c>
      <c r="AU78" s="229">
        <v>714078</v>
      </c>
      <c r="AV78" s="229">
        <v>809927</v>
      </c>
      <c r="AW78" s="230">
        <v>809927</v>
      </c>
      <c r="AX78" s="228">
        <v>926593</v>
      </c>
      <c r="AY78" s="229">
        <v>714078</v>
      </c>
      <c r="AZ78" s="229">
        <v>809927</v>
      </c>
      <c r="BA78" s="230">
        <v>809927</v>
      </c>
      <c r="BB78" s="228">
        <v>0</v>
      </c>
      <c r="BC78" s="229">
        <v>0</v>
      </c>
      <c r="BD78" s="229">
        <v>0</v>
      </c>
      <c r="BE78" s="230">
        <v>0</v>
      </c>
      <c r="BF78" s="215">
        <v>876811</v>
      </c>
      <c r="BG78" s="216">
        <v>876811</v>
      </c>
      <c r="BH78" s="217">
        <v>0</v>
      </c>
      <c r="BI78" s="196">
        <f t="shared" si="1"/>
        <v>0</v>
      </c>
    </row>
    <row r="79" spans="2:61">
      <c r="B79" s="195" t="s">
        <v>304</v>
      </c>
      <c r="C79" s="207">
        <v>2487657</v>
      </c>
      <c r="D79" s="208">
        <v>877776</v>
      </c>
      <c r="E79" s="209">
        <v>0.35285300000000003</v>
      </c>
      <c r="F79" s="209">
        <v>0.64714699999999992</v>
      </c>
      <c r="G79" s="215">
        <v>2487657</v>
      </c>
      <c r="H79" s="216">
        <v>877777</v>
      </c>
      <c r="I79" s="217">
        <v>1609880</v>
      </c>
      <c r="J79" s="215">
        <v>178981</v>
      </c>
      <c r="K79" s="216">
        <v>63154</v>
      </c>
      <c r="L79" s="216">
        <v>115827</v>
      </c>
      <c r="M79" s="215">
        <v>0</v>
      </c>
      <c r="N79" s="216">
        <v>0</v>
      </c>
      <c r="O79" s="216">
        <v>0</v>
      </c>
      <c r="P79" s="215">
        <v>0</v>
      </c>
      <c r="Q79" s="216">
        <v>0</v>
      </c>
      <c r="R79" s="216">
        <v>0</v>
      </c>
      <c r="S79" s="215">
        <v>0</v>
      </c>
      <c r="T79" s="216">
        <v>0</v>
      </c>
      <c r="U79" s="216">
        <v>0</v>
      </c>
      <c r="V79" s="215">
        <v>212482</v>
      </c>
      <c r="W79" s="216">
        <v>74975</v>
      </c>
      <c r="X79" s="216">
        <v>137507</v>
      </c>
      <c r="Y79" s="218">
        <v>-24998</v>
      </c>
      <c r="Z79" s="213">
        <v>-24998</v>
      </c>
      <c r="AA79" s="213">
        <v>-24998</v>
      </c>
      <c r="AB79" s="213">
        <v>-24998</v>
      </c>
      <c r="AC79" s="213">
        <v>-24998</v>
      </c>
      <c r="AD79" s="214">
        <v>-87492</v>
      </c>
      <c r="AE79" s="218">
        <v>-8820.6192940000001</v>
      </c>
      <c r="AF79" s="213">
        <v>-8820.6192940000001</v>
      </c>
      <c r="AG79" s="213">
        <v>-8820.6192940000001</v>
      </c>
      <c r="AH79" s="213">
        <v>-8820.6192940000001</v>
      </c>
      <c r="AI79" s="213">
        <v>-8820.6192940000001</v>
      </c>
      <c r="AJ79" s="214">
        <v>-30871.814676000002</v>
      </c>
      <c r="AK79" s="218">
        <v>-16177.380706</v>
      </c>
      <c r="AL79" s="213">
        <v>-16177.380706</v>
      </c>
      <c r="AM79" s="213">
        <v>-16177.380706</v>
      </c>
      <c r="AN79" s="213">
        <v>-16177.380706</v>
      </c>
      <c r="AO79" s="213">
        <v>-16177.380706</v>
      </c>
      <c r="AP79" s="214">
        <v>-56620.185323999998</v>
      </c>
      <c r="AQ79" s="215">
        <v>72987</v>
      </c>
      <c r="AR79" s="216">
        <v>29533</v>
      </c>
      <c r="AS79" s="217">
        <v>43454</v>
      </c>
      <c r="AT79" s="228">
        <v>2871310</v>
      </c>
      <c r="AU79" s="229">
        <v>2167698</v>
      </c>
      <c r="AV79" s="229">
        <v>2487657</v>
      </c>
      <c r="AW79" s="230">
        <v>2487657</v>
      </c>
      <c r="AX79" s="228">
        <v>1012903</v>
      </c>
      <c r="AY79" s="229">
        <v>765760</v>
      </c>
      <c r="AZ79" s="229">
        <v>877776</v>
      </c>
      <c r="BA79" s="230">
        <v>877776</v>
      </c>
      <c r="BB79" s="228">
        <v>1858159.6525699997</v>
      </c>
      <c r="BC79" s="229">
        <v>1402819.2576059997</v>
      </c>
      <c r="BD79" s="229">
        <v>1609879.7645789997</v>
      </c>
      <c r="BE79" s="230">
        <v>1609879.7645789997</v>
      </c>
      <c r="BF79" s="215">
        <v>2590384</v>
      </c>
      <c r="BG79" s="216">
        <v>914025</v>
      </c>
      <c r="BH79" s="217">
        <v>1676359</v>
      </c>
      <c r="BI79" s="196">
        <f t="shared" si="1"/>
        <v>-66479</v>
      </c>
    </row>
    <row r="80" spans="2:61">
      <c r="B80" s="195" t="s">
        <v>305</v>
      </c>
      <c r="C80" s="207">
        <v>0</v>
      </c>
      <c r="D80" s="208">
        <v>0</v>
      </c>
      <c r="E80" s="209">
        <v>0</v>
      </c>
      <c r="F80" s="209">
        <v>1</v>
      </c>
      <c r="G80" s="215">
        <v>0</v>
      </c>
      <c r="H80" s="216">
        <v>0</v>
      </c>
      <c r="I80" s="217">
        <v>0</v>
      </c>
      <c r="J80" s="215">
        <v>0</v>
      </c>
      <c r="K80" s="216">
        <v>0</v>
      </c>
      <c r="L80" s="216">
        <v>0</v>
      </c>
      <c r="M80" s="215">
        <v>0</v>
      </c>
      <c r="N80" s="216">
        <v>0</v>
      </c>
      <c r="O80" s="216">
        <v>0</v>
      </c>
      <c r="P80" s="215">
        <v>0</v>
      </c>
      <c r="Q80" s="216">
        <v>0</v>
      </c>
      <c r="R80" s="216">
        <v>0</v>
      </c>
      <c r="S80" s="215">
        <v>0</v>
      </c>
      <c r="T80" s="216">
        <v>0</v>
      </c>
      <c r="U80" s="216">
        <v>0</v>
      </c>
      <c r="V80" s="215">
        <v>0</v>
      </c>
      <c r="W80" s="216">
        <v>0</v>
      </c>
      <c r="X80" s="216">
        <v>0</v>
      </c>
      <c r="Y80" s="218">
        <v>0</v>
      </c>
      <c r="Z80" s="213">
        <v>0</v>
      </c>
      <c r="AA80" s="213">
        <v>0</v>
      </c>
      <c r="AB80" s="213">
        <v>0</v>
      </c>
      <c r="AC80" s="213">
        <v>0</v>
      </c>
      <c r="AD80" s="214">
        <v>0</v>
      </c>
      <c r="AE80" s="218">
        <v>0</v>
      </c>
      <c r="AF80" s="213">
        <v>0</v>
      </c>
      <c r="AG80" s="213">
        <v>0</v>
      </c>
      <c r="AH80" s="213">
        <v>0</v>
      </c>
      <c r="AI80" s="213">
        <v>0</v>
      </c>
      <c r="AJ80" s="214">
        <v>0</v>
      </c>
      <c r="AK80" s="218">
        <v>0</v>
      </c>
      <c r="AL80" s="213">
        <v>0</v>
      </c>
      <c r="AM80" s="213">
        <v>0</v>
      </c>
      <c r="AN80" s="213">
        <v>0</v>
      </c>
      <c r="AO80" s="213">
        <v>0</v>
      </c>
      <c r="AP80" s="214">
        <v>0</v>
      </c>
      <c r="AQ80" s="215">
        <v>0</v>
      </c>
      <c r="AR80" s="216">
        <v>0</v>
      </c>
      <c r="AS80" s="217">
        <v>0</v>
      </c>
      <c r="AT80" s="228">
        <v>0</v>
      </c>
      <c r="AU80" s="229">
        <v>0</v>
      </c>
      <c r="AV80" s="229">
        <v>0</v>
      </c>
      <c r="AW80" s="230">
        <v>0</v>
      </c>
      <c r="AX80" s="228">
        <v>0</v>
      </c>
      <c r="AY80" s="229">
        <v>0</v>
      </c>
      <c r="AZ80" s="229">
        <v>0</v>
      </c>
      <c r="BA80" s="230">
        <v>0</v>
      </c>
      <c r="BB80" s="228">
        <v>0</v>
      </c>
      <c r="BC80" s="229">
        <v>0</v>
      </c>
      <c r="BD80" s="229">
        <v>0</v>
      </c>
      <c r="BE80" s="230">
        <v>0</v>
      </c>
      <c r="BF80" s="215">
        <v>0</v>
      </c>
      <c r="BG80" s="216">
        <v>0</v>
      </c>
      <c r="BH80" s="217">
        <v>0</v>
      </c>
      <c r="BI80" s="196">
        <f t="shared" si="1"/>
        <v>0</v>
      </c>
    </row>
    <row r="81" spans="2:61">
      <c r="B81" s="195" t="s">
        <v>306</v>
      </c>
      <c r="C81" s="207">
        <v>329989</v>
      </c>
      <c r="D81" s="208">
        <v>329989</v>
      </c>
      <c r="E81" s="209">
        <v>1</v>
      </c>
      <c r="F81" s="209">
        <v>0</v>
      </c>
      <c r="G81" s="215">
        <v>329989</v>
      </c>
      <c r="H81" s="216">
        <v>329989</v>
      </c>
      <c r="I81" s="217">
        <v>0</v>
      </c>
      <c r="J81" s="215">
        <v>14793</v>
      </c>
      <c r="K81" s="216">
        <v>14793</v>
      </c>
      <c r="L81" s="216">
        <v>0</v>
      </c>
      <c r="M81" s="215">
        <v>0</v>
      </c>
      <c r="N81" s="216">
        <v>0</v>
      </c>
      <c r="O81" s="216">
        <v>0</v>
      </c>
      <c r="P81" s="215">
        <v>0</v>
      </c>
      <c r="Q81" s="216">
        <v>0</v>
      </c>
      <c r="R81" s="216">
        <v>0</v>
      </c>
      <c r="S81" s="215">
        <v>0</v>
      </c>
      <c r="T81" s="216">
        <v>0</v>
      </c>
      <c r="U81" s="216">
        <v>0</v>
      </c>
      <c r="V81" s="215">
        <v>28128</v>
      </c>
      <c r="W81" s="216">
        <v>28128</v>
      </c>
      <c r="X81" s="216">
        <v>0</v>
      </c>
      <c r="Y81" s="218">
        <v>-3606</v>
      </c>
      <c r="Z81" s="213">
        <v>-3606</v>
      </c>
      <c r="AA81" s="213">
        <v>-3606</v>
      </c>
      <c r="AB81" s="213">
        <v>-3606</v>
      </c>
      <c r="AC81" s="213">
        <v>-3606</v>
      </c>
      <c r="AD81" s="214">
        <v>-10098</v>
      </c>
      <c r="AE81" s="218">
        <v>-3606</v>
      </c>
      <c r="AF81" s="213">
        <v>-3606</v>
      </c>
      <c r="AG81" s="213">
        <v>-3606</v>
      </c>
      <c r="AH81" s="213">
        <v>-3606</v>
      </c>
      <c r="AI81" s="213">
        <v>-3606</v>
      </c>
      <c r="AJ81" s="214">
        <v>-10098</v>
      </c>
      <c r="AK81" s="218">
        <v>0</v>
      </c>
      <c r="AL81" s="213">
        <v>0</v>
      </c>
      <c r="AM81" s="213">
        <v>0</v>
      </c>
      <c r="AN81" s="213">
        <v>0</v>
      </c>
      <c r="AO81" s="213">
        <v>0</v>
      </c>
      <c r="AP81" s="214">
        <v>0</v>
      </c>
      <c r="AQ81" s="215">
        <v>11229</v>
      </c>
      <c r="AR81" s="216">
        <v>11229</v>
      </c>
      <c r="AS81" s="217">
        <v>0</v>
      </c>
      <c r="AT81" s="228">
        <v>381493</v>
      </c>
      <c r="AU81" s="229">
        <v>287895</v>
      </c>
      <c r="AV81" s="229">
        <v>329989</v>
      </c>
      <c r="AW81" s="230">
        <v>329989</v>
      </c>
      <c r="AX81" s="228">
        <v>381493</v>
      </c>
      <c r="AY81" s="229">
        <v>287895</v>
      </c>
      <c r="AZ81" s="229">
        <v>329989</v>
      </c>
      <c r="BA81" s="230">
        <v>329989</v>
      </c>
      <c r="BB81" s="228">
        <v>0</v>
      </c>
      <c r="BC81" s="229">
        <v>0</v>
      </c>
      <c r="BD81" s="229">
        <v>0</v>
      </c>
      <c r="BE81" s="230">
        <v>0</v>
      </c>
      <c r="BF81" s="215">
        <v>353974</v>
      </c>
      <c r="BG81" s="216">
        <v>353974</v>
      </c>
      <c r="BH81" s="217">
        <v>0</v>
      </c>
      <c r="BI81" s="196">
        <f t="shared" si="1"/>
        <v>0</v>
      </c>
    </row>
    <row r="82" spans="2:61">
      <c r="B82" s="195" t="s">
        <v>307</v>
      </c>
      <c r="C82" s="207">
        <v>1241354</v>
      </c>
      <c r="D82" s="208">
        <v>617177</v>
      </c>
      <c r="E82" s="209">
        <v>0.49718000000000001</v>
      </c>
      <c r="F82" s="209">
        <v>0.50282000000000004</v>
      </c>
      <c r="G82" s="215">
        <v>1241354</v>
      </c>
      <c r="H82" s="216">
        <v>617176</v>
      </c>
      <c r="I82" s="217">
        <v>624178</v>
      </c>
      <c r="J82" s="215">
        <v>44477</v>
      </c>
      <c r="K82" s="216">
        <v>22113</v>
      </c>
      <c r="L82" s="216">
        <v>22364</v>
      </c>
      <c r="M82" s="215">
        <v>0</v>
      </c>
      <c r="N82" s="216">
        <v>0</v>
      </c>
      <c r="O82" s="216">
        <v>0</v>
      </c>
      <c r="P82" s="215">
        <v>0</v>
      </c>
      <c r="Q82" s="216">
        <v>0</v>
      </c>
      <c r="R82" s="216">
        <v>0</v>
      </c>
      <c r="S82" s="215">
        <v>0</v>
      </c>
      <c r="T82" s="216">
        <v>0</v>
      </c>
      <c r="U82" s="216">
        <v>0</v>
      </c>
      <c r="V82" s="215">
        <v>84664</v>
      </c>
      <c r="W82" s="216">
        <v>42093</v>
      </c>
      <c r="X82" s="216">
        <v>42571</v>
      </c>
      <c r="Y82" s="218">
        <v>-12451</v>
      </c>
      <c r="Z82" s="213">
        <v>-12451</v>
      </c>
      <c r="AA82" s="213">
        <v>-12451</v>
      </c>
      <c r="AB82" s="213">
        <v>-12451</v>
      </c>
      <c r="AC82" s="213">
        <v>-12451</v>
      </c>
      <c r="AD82" s="214">
        <v>-22409</v>
      </c>
      <c r="AE82" s="218">
        <v>-6190.3881799999999</v>
      </c>
      <c r="AF82" s="213">
        <v>-6190.3881799999999</v>
      </c>
      <c r="AG82" s="213">
        <v>-6190.3881799999999</v>
      </c>
      <c r="AH82" s="213">
        <v>-6190.3881799999999</v>
      </c>
      <c r="AI82" s="213">
        <v>-6190.3881799999999</v>
      </c>
      <c r="AJ82" s="214">
        <v>-11141.306619999999</v>
      </c>
      <c r="AK82" s="218">
        <v>-6260.6118200000001</v>
      </c>
      <c r="AL82" s="213">
        <v>-6260.6118200000001</v>
      </c>
      <c r="AM82" s="213">
        <v>-6260.6118200000001</v>
      </c>
      <c r="AN82" s="213">
        <v>-6260.6118200000001</v>
      </c>
      <c r="AO82" s="213">
        <v>-6260.6118200000001</v>
      </c>
      <c r="AP82" s="214">
        <v>-11267.693380000001</v>
      </c>
      <c r="AQ82" s="215">
        <v>68468</v>
      </c>
      <c r="AR82" s="216">
        <v>33929</v>
      </c>
      <c r="AS82" s="217">
        <v>34539</v>
      </c>
      <c r="AT82" s="228">
        <v>1398499</v>
      </c>
      <c r="AU82" s="229">
        <v>1110358</v>
      </c>
      <c r="AV82" s="229">
        <v>1241354</v>
      </c>
      <c r="AW82" s="230">
        <v>1241354</v>
      </c>
      <c r="AX82" s="228">
        <v>695821</v>
      </c>
      <c r="AY82" s="229">
        <v>551749</v>
      </c>
      <c r="AZ82" s="229">
        <v>617177</v>
      </c>
      <c r="BA82" s="230">
        <v>617177</v>
      </c>
      <c r="BB82" s="228">
        <v>703193.26718000008</v>
      </c>
      <c r="BC82" s="229">
        <v>558310.2095600001</v>
      </c>
      <c r="BD82" s="229">
        <v>624177.61828000005</v>
      </c>
      <c r="BE82" s="230">
        <v>624177.61828000005</v>
      </c>
      <c r="BF82" s="215">
        <v>1349341</v>
      </c>
      <c r="BG82" s="216">
        <v>670865</v>
      </c>
      <c r="BH82" s="217">
        <v>678476</v>
      </c>
      <c r="BI82" s="196">
        <f t="shared" si="1"/>
        <v>-54298</v>
      </c>
    </row>
    <row r="83" spans="2:61">
      <c r="B83" s="195" t="s">
        <v>308</v>
      </c>
      <c r="C83" s="207">
        <v>831740</v>
      </c>
      <c r="D83" s="208">
        <v>831740</v>
      </c>
      <c r="E83" s="209">
        <v>1</v>
      </c>
      <c r="F83" s="209">
        <v>0</v>
      </c>
      <c r="G83" s="215">
        <v>831740</v>
      </c>
      <c r="H83" s="216">
        <v>831740</v>
      </c>
      <c r="I83" s="217">
        <v>0</v>
      </c>
      <c r="J83" s="215">
        <v>35464</v>
      </c>
      <c r="K83" s="216">
        <v>35464</v>
      </c>
      <c r="L83" s="216">
        <v>0</v>
      </c>
      <c r="M83" s="215">
        <v>0</v>
      </c>
      <c r="N83" s="216">
        <v>0</v>
      </c>
      <c r="O83" s="216">
        <v>0</v>
      </c>
      <c r="P83" s="215">
        <v>0</v>
      </c>
      <c r="Q83" s="216">
        <v>0</v>
      </c>
      <c r="R83" s="216">
        <v>0</v>
      </c>
      <c r="S83" s="215">
        <v>0</v>
      </c>
      <c r="T83" s="216">
        <v>0</v>
      </c>
      <c r="U83" s="216">
        <v>0</v>
      </c>
      <c r="V83" s="215">
        <v>68108</v>
      </c>
      <c r="W83" s="216">
        <v>68108</v>
      </c>
      <c r="X83" s="216">
        <v>0</v>
      </c>
      <c r="Y83" s="218">
        <v>-8845</v>
      </c>
      <c r="Z83" s="213">
        <v>-8845</v>
      </c>
      <c r="AA83" s="213">
        <v>-8845</v>
      </c>
      <c r="AB83" s="213">
        <v>-8845</v>
      </c>
      <c r="AC83" s="213">
        <v>-8845</v>
      </c>
      <c r="AD83" s="214">
        <v>-23883</v>
      </c>
      <c r="AE83" s="218">
        <v>-8845</v>
      </c>
      <c r="AF83" s="213">
        <v>-8845</v>
      </c>
      <c r="AG83" s="213">
        <v>-8845</v>
      </c>
      <c r="AH83" s="213">
        <v>-8845</v>
      </c>
      <c r="AI83" s="213">
        <v>-8845</v>
      </c>
      <c r="AJ83" s="214">
        <v>-23883</v>
      </c>
      <c r="AK83" s="218">
        <v>0</v>
      </c>
      <c r="AL83" s="213">
        <v>0</v>
      </c>
      <c r="AM83" s="213">
        <v>0</v>
      </c>
      <c r="AN83" s="213">
        <v>0</v>
      </c>
      <c r="AO83" s="213">
        <v>0</v>
      </c>
      <c r="AP83" s="214">
        <v>0</v>
      </c>
      <c r="AQ83" s="215">
        <v>36346</v>
      </c>
      <c r="AR83" s="216">
        <v>36346</v>
      </c>
      <c r="AS83" s="217">
        <v>0</v>
      </c>
      <c r="AT83" s="228">
        <v>956512</v>
      </c>
      <c r="AU83" s="229">
        <v>729308</v>
      </c>
      <c r="AV83" s="229">
        <v>831740</v>
      </c>
      <c r="AW83" s="230">
        <v>831740</v>
      </c>
      <c r="AX83" s="228">
        <v>956512</v>
      </c>
      <c r="AY83" s="229">
        <v>729308</v>
      </c>
      <c r="AZ83" s="229">
        <v>831740</v>
      </c>
      <c r="BA83" s="230">
        <v>831740</v>
      </c>
      <c r="BB83" s="228">
        <v>0</v>
      </c>
      <c r="BC83" s="229">
        <v>0</v>
      </c>
      <c r="BD83" s="229">
        <v>0</v>
      </c>
      <c r="BE83" s="230">
        <v>0</v>
      </c>
      <c r="BF83" s="215">
        <v>900084</v>
      </c>
      <c r="BG83" s="216">
        <v>900084</v>
      </c>
      <c r="BH83" s="217">
        <v>0</v>
      </c>
      <c r="BI83" s="196">
        <f t="shared" si="1"/>
        <v>0</v>
      </c>
    </row>
    <row r="84" spans="2:61">
      <c r="B84" s="195" t="s">
        <v>309</v>
      </c>
      <c r="C84" s="207">
        <v>433131</v>
      </c>
      <c r="D84" s="208">
        <v>433131</v>
      </c>
      <c r="E84" s="209">
        <v>1</v>
      </c>
      <c r="F84" s="209">
        <v>0</v>
      </c>
      <c r="G84" s="215">
        <v>433131</v>
      </c>
      <c r="H84" s="216">
        <v>433131</v>
      </c>
      <c r="I84" s="217">
        <v>0</v>
      </c>
      <c r="J84" s="215">
        <v>16928</v>
      </c>
      <c r="K84" s="216">
        <v>16928</v>
      </c>
      <c r="L84" s="216">
        <v>0</v>
      </c>
      <c r="M84" s="215">
        <v>0</v>
      </c>
      <c r="N84" s="216">
        <v>0</v>
      </c>
      <c r="O84" s="216">
        <v>0</v>
      </c>
      <c r="P84" s="215">
        <v>0</v>
      </c>
      <c r="Q84" s="216">
        <v>0</v>
      </c>
      <c r="R84" s="216">
        <v>0</v>
      </c>
      <c r="S84" s="215">
        <v>0</v>
      </c>
      <c r="T84" s="216">
        <v>0</v>
      </c>
      <c r="U84" s="216">
        <v>0</v>
      </c>
      <c r="V84" s="215">
        <v>35259</v>
      </c>
      <c r="W84" s="216">
        <v>35259</v>
      </c>
      <c r="X84" s="216">
        <v>0</v>
      </c>
      <c r="Y84" s="218">
        <v>-4198</v>
      </c>
      <c r="Z84" s="213">
        <v>-4198</v>
      </c>
      <c r="AA84" s="213">
        <v>-4198</v>
      </c>
      <c r="AB84" s="213">
        <v>-4198</v>
      </c>
      <c r="AC84" s="213">
        <v>-4198</v>
      </c>
      <c r="AD84" s="214">
        <v>-14269</v>
      </c>
      <c r="AE84" s="218">
        <v>-4198</v>
      </c>
      <c r="AF84" s="213">
        <v>-4198</v>
      </c>
      <c r="AG84" s="213">
        <v>-4198</v>
      </c>
      <c r="AH84" s="213">
        <v>-4198</v>
      </c>
      <c r="AI84" s="213">
        <v>-4198</v>
      </c>
      <c r="AJ84" s="214">
        <v>-14269</v>
      </c>
      <c r="AK84" s="218">
        <v>0</v>
      </c>
      <c r="AL84" s="213">
        <v>0</v>
      </c>
      <c r="AM84" s="213">
        <v>0</v>
      </c>
      <c r="AN84" s="213">
        <v>0</v>
      </c>
      <c r="AO84" s="213">
        <v>0</v>
      </c>
      <c r="AP84" s="214">
        <v>0</v>
      </c>
      <c r="AQ84" s="215">
        <v>18663</v>
      </c>
      <c r="AR84" s="216">
        <v>18663</v>
      </c>
      <c r="AS84" s="217">
        <v>0</v>
      </c>
      <c r="AT84" s="228">
        <v>497138</v>
      </c>
      <c r="AU84" s="229">
        <v>380764</v>
      </c>
      <c r="AV84" s="229">
        <v>433131</v>
      </c>
      <c r="AW84" s="230">
        <v>433131</v>
      </c>
      <c r="AX84" s="228">
        <v>497138</v>
      </c>
      <c r="AY84" s="229">
        <v>380764</v>
      </c>
      <c r="AZ84" s="229">
        <v>433131</v>
      </c>
      <c r="BA84" s="230">
        <v>433131</v>
      </c>
      <c r="BB84" s="228">
        <v>0</v>
      </c>
      <c r="BC84" s="229">
        <v>0</v>
      </c>
      <c r="BD84" s="229">
        <v>0</v>
      </c>
      <c r="BE84" s="230">
        <v>0</v>
      </c>
      <c r="BF84" s="215">
        <v>469912</v>
      </c>
      <c r="BG84" s="216">
        <v>469912</v>
      </c>
      <c r="BH84" s="217">
        <v>0</v>
      </c>
      <c r="BI84" s="196">
        <f t="shared" si="1"/>
        <v>0</v>
      </c>
    </row>
    <row r="85" spans="2:61">
      <c r="B85" s="195" t="s">
        <v>310</v>
      </c>
      <c r="C85" s="207">
        <v>1248653</v>
      </c>
      <c r="D85" s="208">
        <v>568072</v>
      </c>
      <c r="E85" s="209">
        <v>0.45494800000000002</v>
      </c>
      <c r="F85" s="209">
        <v>0.54505199999999998</v>
      </c>
      <c r="G85" s="215">
        <v>1248653</v>
      </c>
      <c r="H85" s="216">
        <v>568072</v>
      </c>
      <c r="I85" s="217">
        <v>680581</v>
      </c>
      <c r="J85" s="215">
        <v>59965</v>
      </c>
      <c r="K85" s="216">
        <v>27281</v>
      </c>
      <c r="L85" s="216">
        <v>32684</v>
      </c>
      <c r="M85" s="215">
        <v>0</v>
      </c>
      <c r="N85" s="216">
        <v>0</v>
      </c>
      <c r="O85" s="216">
        <v>0</v>
      </c>
      <c r="P85" s="215">
        <v>0</v>
      </c>
      <c r="Q85" s="216">
        <v>0</v>
      </c>
      <c r="R85" s="216">
        <v>0</v>
      </c>
      <c r="S85" s="215">
        <v>0</v>
      </c>
      <c r="T85" s="216">
        <v>0</v>
      </c>
      <c r="U85" s="216">
        <v>0</v>
      </c>
      <c r="V85" s="215">
        <v>111194</v>
      </c>
      <c r="W85" s="216">
        <v>50587</v>
      </c>
      <c r="X85" s="216">
        <v>60607</v>
      </c>
      <c r="Y85" s="218">
        <v>-13899</v>
      </c>
      <c r="Z85" s="213">
        <v>-13899</v>
      </c>
      <c r="AA85" s="213">
        <v>-13899</v>
      </c>
      <c r="AB85" s="213">
        <v>-13899</v>
      </c>
      <c r="AC85" s="213">
        <v>-13899</v>
      </c>
      <c r="AD85" s="214">
        <v>-41699</v>
      </c>
      <c r="AE85" s="218">
        <v>-6323.3222519999999</v>
      </c>
      <c r="AF85" s="213">
        <v>-6323.3222519999999</v>
      </c>
      <c r="AG85" s="213">
        <v>-6323.3222519999999</v>
      </c>
      <c r="AH85" s="213">
        <v>-6323.3222519999999</v>
      </c>
      <c r="AI85" s="213">
        <v>-6323.3222519999999</v>
      </c>
      <c r="AJ85" s="214">
        <v>-18970.876651999999</v>
      </c>
      <c r="AK85" s="218">
        <v>-7575.6777480000001</v>
      </c>
      <c r="AL85" s="213">
        <v>-7575.6777480000001</v>
      </c>
      <c r="AM85" s="213">
        <v>-7575.6777480000001</v>
      </c>
      <c r="AN85" s="213">
        <v>-7575.6777480000001</v>
      </c>
      <c r="AO85" s="213">
        <v>-7575.6777480000001</v>
      </c>
      <c r="AP85" s="214">
        <v>-22728.123348000001</v>
      </c>
      <c r="AQ85" s="215">
        <v>35438</v>
      </c>
      <c r="AR85" s="216">
        <v>17536</v>
      </c>
      <c r="AS85" s="217">
        <v>17902</v>
      </c>
      <c r="AT85" s="228">
        <v>1452340</v>
      </c>
      <c r="AU85" s="229">
        <v>1082319</v>
      </c>
      <c r="AV85" s="229">
        <v>1248653</v>
      </c>
      <c r="AW85" s="230">
        <v>1248653</v>
      </c>
      <c r="AX85" s="228">
        <v>659389</v>
      </c>
      <c r="AY85" s="229">
        <v>493439</v>
      </c>
      <c r="AZ85" s="229">
        <v>568072</v>
      </c>
      <c r="BA85" s="230">
        <v>568072</v>
      </c>
      <c r="BB85" s="228">
        <v>791600.82167999994</v>
      </c>
      <c r="BC85" s="229">
        <v>589920.13558799995</v>
      </c>
      <c r="BD85" s="229">
        <v>680580.81495599996</v>
      </c>
      <c r="BE85" s="230">
        <v>680580.81495599996</v>
      </c>
      <c r="BF85" s="215">
        <v>1333482</v>
      </c>
      <c r="BG85" s="216">
        <v>606665</v>
      </c>
      <c r="BH85" s="217">
        <v>726817</v>
      </c>
      <c r="BI85" s="196">
        <f t="shared" si="1"/>
        <v>-46236</v>
      </c>
    </row>
    <row r="86" spans="2:61">
      <c r="B86" s="195" t="s">
        <v>311</v>
      </c>
      <c r="C86" s="207">
        <v>3899545</v>
      </c>
      <c r="D86" s="208">
        <v>3899545</v>
      </c>
      <c r="E86" s="209">
        <v>1</v>
      </c>
      <c r="F86" s="209">
        <v>0</v>
      </c>
      <c r="G86" s="215">
        <v>3899545</v>
      </c>
      <c r="H86" s="216">
        <v>3899545</v>
      </c>
      <c r="I86" s="217">
        <v>0</v>
      </c>
      <c r="J86" s="215">
        <v>158031</v>
      </c>
      <c r="K86" s="216">
        <v>158031</v>
      </c>
      <c r="L86" s="216">
        <v>0</v>
      </c>
      <c r="M86" s="215">
        <v>0</v>
      </c>
      <c r="N86" s="216">
        <v>0</v>
      </c>
      <c r="O86" s="216">
        <v>0</v>
      </c>
      <c r="P86" s="215">
        <v>0</v>
      </c>
      <c r="Q86" s="216">
        <v>0</v>
      </c>
      <c r="R86" s="216">
        <v>0</v>
      </c>
      <c r="S86" s="215">
        <v>0</v>
      </c>
      <c r="T86" s="216">
        <v>0</v>
      </c>
      <c r="U86" s="216">
        <v>0</v>
      </c>
      <c r="V86" s="215">
        <v>306716</v>
      </c>
      <c r="W86" s="216">
        <v>306716</v>
      </c>
      <c r="X86" s="216">
        <v>0</v>
      </c>
      <c r="Y86" s="218">
        <v>-42016</v>
      </c>
      <c r="Z86" s="213">
        <v>-42016</v>
      </c>
      <c r="AA86" s="213">
        <v>-42016</v>
      </c>
      <c r="AB86" s="213">
        <v>-42016</v>
      </c>
      <c r="AC86" s="213">
        <v>-42016</v>
      </c>
      <c r="AD86" s="214">
        <v>-96636</v>
      </c>
      <c r="AE86" s="218">
        <v>-42016</v>
      </c>
      <c r="AF86" s="213">
        <v>-42016</v>
      </c>
      <c r="AG86" s="213">
        <v>-42016</v>
      </c>
      <c r="AH86" s="213">
        <v>-42016</v>
      </c>
      <c r="AI86" s="213">
        <v>-42016</v>
      </c>
      <c r="AJ86" s="214">
        <v>-96636</v>
      </c>
      <c r="AK86" s="218">
        <v>0</v>
      </c>
      <c r="AL86" s="213">
        <v>0</v>
      </c>
      <c r="AM86" s="213">
        <v>0</v>
      </c>
      <c r="AN86" s="213">
        <v>0</v>
      </c>
      <c r="AO86" s="213">
        <v>0</v>
      </c>
      <c r="AP86" s="214">
        <v>0</v>
      </c>
      <c r="AQ86" s="215">
        <v>160767</v>
      </c>
      <c r="AR86" s="216">
        <v>160767</v>
      </c>
      <c r="AS86" s="217">
        <v>0</v>
      </c>
      <c r="AT86" s="228">
        <v>4464516</v>
      </c>
      <c r="AU86" s="229">
        <v>3434670</v>
      </c>
      <c r="AV86" s="229">
        <v>3899545</v>
      </c>
      <c r="AW86" s="230">
        <v>3899545</v>
      </c>
      <c r="AX86" s="228">
        <v>4464516</v>
      </c>
      <c r="AY86" s="229">
        <v>3434670</v>
      </c>
      <c r="AZ86" s="229">
        <v>3899545</v>
      </c>
      <c r="BA86" s="230">
        <v>3899545</v>
      </c>
      <c r="BB86" s="228">
        <v>0</v>
      </c>
      <c r="BC86" s="229">
        <v>0</v>
      </c>
      <c r="BD86" s="229">
        <v>0</v>
      </c>
      <c r="BE86" s="230">
        <v>0</v>
      </c>
      <c r="BF86" s="215">
        <v>4204530</v>
      </c>
      <c r="BG86" s="216">
        <v>4204530</v>
      </c>
      <c r="BH86" s="217">
        <v>0</v>
      </c>
      <c r="BI86" s="196">
        <f t="shared" si="1"/>
        <v>0</v>
      </c>
    </row>
    <row r="87" spans="2:61">
      <c r="B87" s="195" t="s">
        <v>312</v>
      </c>
      <c r="C87" s="207">
        <v>1697247</v>
      </c>
      <c r="D87" s="208">
        <v>1697247</v>
      </c>
      <c r="E87" s="209">
        <v>1</v>
      </c>
      <c r="F87" s="209">
        <v>0</v>
      </c>
      <c r="G87" s="215">
        <v>1697247</v>
      </c>
      <c r="H87" s="216">
        <v>1697247</v>
      </c>
      <c r="I87" s="217">
        <v>0</v>
      </c>
      <c r="J87" s="215">
        <v>77604</v>
      </c>
      <c r="K87" s="216">
        <v>77604</v>
      </c>
      <c r="L87" s="216">
        <v>0</v>
      </c>
      <c r="M87" s="215">
        <v>0</v>
      </c>
      <c r="N87" s="216">
        <v>0</v>
      </c>
      <c r="O87" s="216">
        <v>0</v>
      </c>
      <c r="P87" s="215">
        <v>0</v>
      </c>
      <c r="Q87" s="216">
        <v>0</v>
      </c>
      <c r="R87" s="216">
        <v>0</v>
      </c>
      <c r="S87" s="215">
        <v>0</v>
      </c>
      <c r="T87" s="216">
        <v>0</v>
      </c>
      <c r="U87" s="216">
        <v>0</v>
      </c>
      <c r="V87" s="215">
        <v>143610</v>
      </c>
      <c r="W87" s="216">
        <v>143610</v>
      </c>
      <c r="X87" s="216">
        <v>0</v>
      </c>
      <c r="Y87" s="218">
        <v>-17096</v>
      </c>
      <c r="Z87" s="213">
        <v>-17096</v>
      </c>
      <c r="AA87" s="213">
        <v>-17096</v>
      </c>
      <c r="AB87" s="213">
        <v>-17096</v>
      </c>
      <c r="AC87" s="213">
        <v>-17096</v>
      </c>
      <c r="AD87" s="214">
        <v>-58130</v>
      </c>
      <c r="AE87" s="218">
        <v>-17096</v>
      </c>
      <c r="AF87" s="213">
        <v>-17096</v>
      </c>
      <c r="AG87" s="213">
        <v>-17096</v>
      </c>
      <c r="AH87" s="213">
        <v>-17096</v>
      </c>
      <c r="AI87" s="213">
        <v>-17096</v>
      </c>
      <c r="AJ87" s="214">
        <v>-58130</v>
      </c>
      <c r="AK87" s="218">
        <v>0</v>
      </c>
      <c r="AL87" s="213">
        <v>0</v>
      </c>
      <c r="AM87" s="213">
        <v>0</v>
      </c>
      <c r="AN87" s="213">
        <v>0</v>
      </c>
      <c r="AO87" s="213">
        <v>0</v>
      </c>
      <c r="AP87" s="214">
        <v>0</v>
      </c>
      <c r="AQ87" s="215">
        <v>63145</v>
      </c>
      <c r="AR87" s="216">
        <v>63145</v>
      </c>
      <c r="AS87" s="217">
        <v>0</v>
      </c>
      <c r="AT87" s="228">
        <v>1958291</v>
      </c>
      <c r="AU87" s="229">
        <v>1483403</v>
      </c>
      <c r="AV87" s="229">
        <v>1697247</v>
      </c>
      <c r="AW87" s="230">
        <v>1697247</v>
      </c>
      <c r="AX87" s="228">
        <v>1958291</v>
      </c>
      <c r="AY87" s="229">
        <v>1483403</v>
      </c>
      <c r="AZ87" s="229">
        <v>1697247</v>
      </c>
      <c r="BA87" s="230">
        <v>1697247</v>
      </c>
      <c r="BB87" s="228">
        <v>0</v>
      </c>
      <c r="BC87" s="229">
        <v>0</v>
      </c>
      <c r="BD87" s="229">
        <v>0</v>
      </c>
      <c r="BE87" s="230">
        <v>0</v>
      </c>
      <c r="BF87" s="215">
        <v>1825203</v>
      </c>
      <c r="BG87" s="216">
        <v>1825203</v>
      </c>
      <c r="BH87" s="217">
        <v>0</v>
      </c>
      <c r="BI87" s="196">
        <f t="shared" si="1"/>
        <v>0</v>
      </c>
    </row>
    <row r="88" spans="2:61">
      <c r="B88" s="195" t="s">
        <v>313</v>
      </c>
      <c r="C88" s="207">
        <v>2026611</v>
      </c>
      <c r="D88" s="208">
        <v>2026611</v>
      </c>
      <c r="E88" s="209">
        <v>1</v>
      </c>
      <c r="F88" s="209">
        <v>0</v>
      </c>
      <c r="G88" s="215">
        <v>2026611</v>
      </c>
      <c r="H88" s="216">
        <v>2026611</v>
      </c>
      <c r="I88" s="217">
        <v>0</v>
      </c>
      <c r="J88" s="215">
        <v>97093</v>
      </c>
      <c r="K88" s="216">
        <v>97093</v>
      </c>
      <c r="L88" s="216">
        <v>0</v>
      </c>
      <c r="M88" s="215">
        <v>0</v>
      </c>
      <c r="N88" s="216">
        <v>0</v>
      </c>
      <c r="O88" s="216">
        <v>0</v>
      </c>
      <c r="P88" s="215">
        <v>0</v>
      </c>
      <c r="Q88" s="216">
        <v>0</v>
      </c>
      <c r="R88" s="216">
        <v>0</v>
      </c>
      <c r="S88" s="215">
        <v>0</v>
      </c>
      <c r="T88" s="216">
        <v>0</v>
      </c>
      <c r="U88" s="216">
        <v>0</v>
      </c>
      <c r="V88" s="215">
        <v>182069</v>
      </c>
      <c r="W88" s="216">
        <v>182069</v>
      </c>
      <c r="X88" s="216">
        <v>0</v>
      </c>
      <c r="Y88" s="218">
        <v>-21675</v>
      </c>
      <c r="Z88" s="213">
        <v>-21675</v>
      </c>
      <c r="AA88" s="213">
        <v>-21675</v>
      </c>
      <c r="AB88" s="213">
        <v>-21675</v>
      </c>
      <c r="AC88" s="213">
        <v>-21675</v>
      </c>
      <c r="AD88" s="214">
        <v>-73694</v>
      </c>
      <c r="AE88" s="218">
        <v>-21675</v>
      </c>
      <c r="AF88" s="213">
        <v>-21675</v>
      </c>
      <c r="AG88" s="213">
        <v>-21675</v>
      </c>
      <c r="AH88" s="213">
        <v>-21675</v>
      </c>
      <c r="AI88" s="213">
        <v>-21675</v>
      </c>
      <c r="AJ88" s="214">
        <v>-73694</v>
      </c>
      <c r="AK88" s="218">
        <v>0</v>
      </c>
      <c r="AL88" s="213">
        <v>0</v>
      </c>
      <c r="AM88" s="213">
        <v>0</v>
      </c>
      <c r="AN88" s="213">
        <v>0</v>
      </c>
      <c r="AO88" s="213">
        <v>0</v>
      </c>
      <c r="AP88" s="214">
        <v>0</v>
      </c>
      <c r="AQ88" s="215">
        <v>49834</v>
      </c>
      <c r="AR88" s="216">
        <v>49834</v>
      </c>
      <c r="AS88" s="217">
        <v>0</v>
      </c>
      <c r="AT88" s="228">
        <v>2357433</v>
      </c>
      <c r="AU88" s="229">
        <v>1756301</v>
      </c>
      <c r="AV88" s="229">
        <v>2026611</v>
      </c>
      <c r="AW88" s="230">
        <v>2026611</v>
      </c>
      <c r="AX88" s="228">
        <v>2357433</v>
      </c>
      <c r="AY88" s="229">
        <v>1756301</v>
      </c>
      <c r="AZ88" s="229">
        <v>2026611</v>
      </c>
      <c r="BA88" s="230">
        <v>2026611</v>
      </c>
      <c r="BB88" s="228">
        <v>0</v>
      </c>
      <c r="BC88" s="229">
        <v>0</v>
      </c>
      <c r="BD88" s="229">
        <v>0</v>
      </c>
      <c r="BE88" s="230">
        <v>0</v>
      </c>
      <c r="BF88" s="215">
        <v>2156737</v>
      </c>
      <c r="BG88" s="216">
        <v>2156737</v>
      </c>
      <c r="BH88" s="217">
        <v>0</v>
      </c>
      <c r="BI88" s="196">
        <f t="shared" si="1"/>
        <v>0</v>
      </c>
    </row>
    <row r="89" spans="2:61">
      <c r="B89" s="195" t="s">
        <v>314</v>
      </c>
      <c r="C89" s="207">
        <v>0</v>
      </c>
      <c r="D89" s="208">
        <v>0</v>
      </c>
      <c r="E89" s="209">
        <v>0</v>
      </c>
      <c r="F89" s="209">
        <v>1</v>
      </c>
      <c r="G89" s="215">
        <v>0</v>
      </c>
      <c r="H89" s="216">
        <v>0</v>
      </c>
      <c r="I89" s="217">
        <v>0</v>
      </c>
      <c r="J89" s="215">
        <v>0</v>
      </c>
      <c r="K89" s="216">
        <v>0</v>
      </c>
      <c r="L89" s="216">
        <v>0</v>
      </c>
      <c r="M89" s="215">
        <v>0</v>
      </c>
      <c r="N89" s="216">
        <v>0</v>
      </c>
      <c r="O89" s="216">
        <v>0</v>
      </c>
      <c r="P89" s="215">
        <v>0</v>
      </c>
      <c r="Q89" s="216">
        <v>0</v>
      </c>
      <c r="R89" s="216">
        <v>0</v>
      </c>
      <c r="S89" s="215">
        <v>0</v>
      </c>
      <c r="T89" s="216">
        <v>0</v>
      </c>
      <c r="U89" s="216">
        <v>0</v>
      </c>
      <c r="V89" s="215">
        <v>0</v>
      </c>
      <c r="W89" s="216">
        <v>0</v>
      </c>
      <c r="X89" s="216">
        <v>0</v>
      </c>
      <c r="Y89" s="218">
        <v>0</v>
      </c>
      <c r="Z89" s="213">
        <v>0</v>
      </c>
      <c r="AA89" s="213">
        <v>0</v>
      </c>
      <c r="AB89" s="213">
        <v>0</v>
      </c>
      <c r="AC89" s="213">
        <v>0</v>
      </c>
      <c r="AD89" s="214">
        <v>0</v>
      </c>
      <c r="AE89" s="218">
        <v>0</v>
      </c>
      <c r="AF89" s="213">
        <v>0</v>
      </c>
      <c r="AG89" s="213">
        <v>0</v>
      </c>
      <c r="AH89" s="213">
        <v>0</v>
      </c>
      <c r="AI89" s="213">
        <v>0</v>
      </c>
      <c r="AJ89" s="214">
        <v>0</v>
      </c>
      <c r="AK89" s="218">
        <v>0</v>
      </c>
      <c r="AL89" s="213">
        <v>0</v>
      </c>
      <c r="AM89" s="213">
        <v>0</v>
      </c>
      <c r="AN89" s="213">
        <v>0</v>
      </c>
      <c r="AO89" s="213">
        <v>0</v>
      </c>
      <c r="AP89" s="214">
        <v>0</v>
      </c>
      <c r="AQ89" s="215">
        <v>0</v>
      </c>
      <c r="AR89" s="216">
        <v>0</v>
      </c>
      <c r="AS89" s="217">
        <v>0</v>
      </c>
      <c r="AT89" s="228">
        <v>0</v>
      </c>
      <c r="AU89" s="229">
        <v>0</v>
      </c>
      <c r="AV89" s="229">
        <v>0</v>
      </c>
      <c r="AW89" s="230">
        <v>0</v>
      </c>
      <c r="AX89" s="228">
        <v>0</v>
      </c>
      <c r="AY89" s="229">
        <v>0</v>
      </c>
      <c r="AZ89" s="229">
        <v>0</v>
      </c>
      <c r="BA89" s="230">
        <v>0</v>
      </c>
      <c r="BB89" s="228">
        <v>0</v>
      </c>
      <c r="BC89" s="229">
        <v>0</v>
      </c>
      <c r="BD89" s="229">
        <v>0</v>
      </c>
      <c r="BE89" s="230">
        <v>0</v>
      </c>
      <c r="BF89" s="215">
        <v>0</v>
      </c>
      <c r="BG89" s="216">
        <v>0</v>
      </c>
      <c r="BH89" s="217">
        <v>0</v>
      </c>
      <c r="BI89" s="196">
        <f t="shared" si="1"/>
        <v>0</v>
      </c>
    </row>
    <row r="90" spans="2:61">
      <c r="B90" s="195" t="s">
        <v>315</v>
      </c>
      <c r="C90" s="207">
        <v>27543782</v>
      </c>
      <c r="D90" s="208">
        <v>2725502</v>
      </c>
      <c r="E90" s="209">
        <v>9.8951999999999998E-2</v>
      </c>
      <c r="F90" s="209">
        <v>0.90104799999999996</v>
      </c>
      <c r="G90" s="215">
        <v>27543782</v>
      </c>
      <c r="H90" s="216">
        <v>2725512</v>
      </c>
      <c r="I90" s="217">
        <v>24818270</v>
      </c>
      <c r="J90" s="215">
        <v>2656783</v>
      </c>
      <c r="K90" s="216">
        <v>262894</v>
      </c>
      <c r="L90" s="216">
        <v>2393889</v>
      </c>
      <c r="M90" s="215">
        <v>0</v>
      </c>
      <c r="N90" s="216">
        <v>0</v>
      </c>
      <c r="O90" s="216">
        <v>0</v>
      </c>
      <c r="P90" s="215">
        <v>0</v>
      </c>
      <c r="Q90" s="216">
        <v>0</v>
      </c>
      <c r="R90" s="216">
        <v>0</v>
      </c>
      <c r="S90" s="215">
        <v>0</v>
      </c>
      <c r="T90" s="216">
        <v>0</v>
      </c>
      <c r="U90" s="216">
        <v>0</v>
      </c>
      <c r="V90" s="215">
        <v>2792368</v>
      </c>
      <c r="W90" s="216">
        <v>276310</v>
      </c>
      <c r="X90" s="216">
        <v>2516058</v>
      </c>
      <c r="Y90" s="218">
        <v>-387829</v>
      </c>
      <c r="Z90" s="213">
        <v>-387829</v>
      </c>
      <c r="AA90" s="213">
        <v>-387829</v>
      </c>
      <c r="AB90" s="213">
        <v>-387829</v>
      </c>
      <c r="AC90" s="213">
        <v>-387829</v>
      </c>
      <c r="AD90" s="214">
        <v>-853223</v>
      </c>
      <c r="AE90" s="218">
        <v>-38376.455207999999</v>
      </c>
      <c r="AF90" s="213">
        <v>-38376.455207999999</v>
      </c>
      <c r="AG90" s="213">
        <v>-38376.455207999999</v>
      </c>
      <c r="AH90" s="213">
        <v>-38376.455207999999</v>
      </c>
      <c r="AI90" s="213">
        <v>-38376.455207999999</v>
      </c>
      <c r="AJ90" s="214">
        <v>-84428.122296000001</v>
      </c>
      <c r="AK90" s="218">
        <v>-349452.54479199997</v>
      </c>
      <c r="AL90" s="213">
        <v>-349452.54479199997</v>
      </c>
      <c r="AM90" s="213">
        <v>-349452.54479199997</v>
      </c>
      <c r="AN90" s="213">
        <v>-349452.54479199997</v>
      </c>
      <c r="AO90" s="213">
        <v>-349452.54479199997</v>
      </c>
      <c r="AP90" s="214">
        <v>-768794.87770399998</v>
      </c>
      <c r="AQ90" s="215">
        <v>473540</v>
      </c>
      <c r="AR90" s="216">
        <v>136291</v>
      </c>
      <c r="AS90" s="217">
        <v>337249</v>
      </c>
      <c r="AT90" s="228">
        <v>32688288</v>
      </c>
      <c r="AU90" s="229">
        <v>23304503</v>
      </c>
      <c r="AV90" s="229">
        <v>22338714</v>
      </c>
      <c r="AW90" s="230">
        <v>34487183</v>
      </c>
      <c r="AX90" s="228">
        <v>3092785</v>
      </c>
      <c r="AY90" s="229">
        <v>2418901</v>
      </c>
      <c r="AZ90" s="229">
        <v>2725506</v>
      </c>
      <c r="BA90" s="230">
        <v>2725506</v>
      </c>
      <c r="BB90" s="228">
        <v>29453716.525823999</v>
      </c>
      <c r="BC90" s="229">
        <v>20998475.819143999</v>
      </c>
      <c r="BD90" s="229">
        <v>20128253.572271999</v>
      </c>
      <c r="BE90" s="230">
        <v>31074607.267783999</v>
      </c>
      <c r="BF90" s="215">
        <v>28168327</v>
      </c>
      <c r="BG90" s="216">
        <v>2787312</v>
      </c>
      <c r="BH90" s="217">
        <v>25381015</v>
      </c>
      <c r="BI90" s="196">
        <f t="shared" si="1"/>
        <v>-562745</v>
      </c>
    </row>
    <row r="91" spans="2:61">
      <c r="B91" s="195" t="s">
        <v>316</v>
      </c>
      <c r="C91" s="207">
        <v>13179</v>
      </c>
      <c r="D91" s="208">
        <v>13179</v>
      </c>
      <c r="E91" s="209">
        <v>1</v>
      </c>
      <c r="F91" s="209">
        <v>0</v>
      </c>
      <c r="G91" s="215">
        <v>13179</v>
      </c>
      <c r="H91" s="216">
        <v>13179</v>
      </c>
      <c r="I91" s="217">
        <v>0</v>
      </c>
      <c r="J91" s="215">
        <v>2174</v>
      </c>
      <c r="K91" s="216">
        <v>2174</v>
      </c>
      <c r="L91" s="216">
        <v>0</v>
      </c>
      <c r="M91" s="215">
        <v>0</v>
      </c>
      <c r="N91" s="216">
        <v>0</v>
      </c>
      <c r="O91" s="216">
        <v>0</v>
      </c>
      <c r="P91" s="215">
        <v>0</v>
      </c>
      <c r="Q91" s="216">
        <v>0</v>
      </c>
      <c r="R91" s="216">
        <v>0</v>
      </c>
      <c r="S91" s="215">
        <v>0</v>
      </c>
      <c r="T91" s="216">
        <v>0</v>
      </c>
      <c r="U91" s="216">
        <v>0</v>
      </c>
      <c r="V91" s="215">
        <v>2449</v>
      </c>
      <c r="W91" s="216">
        <v>2449</v>
      </c>
      <c r="X91" s="216">
        <v>0</v>
      </c>
      <c r="Y91" s="218">
        <v>-167</v>
      </c>
      <c r="Z91" s="213">
        <v>-167</v>
      </c>
      <c r="AA91" s="213">
        <v>-167</v>
      </c>
      <c r="AB91" s="213">
        <v>-167</v>
      </c>
      <c r="AC91" s="213">
        <v>-167</v>
      </c>
      <c r="AD91" s="214">
        <v>-1614</v>
      </c>
      <c r="AE91" s="218">
        <v>-167</v>
      </c>
      <c r="AF91" s="213">
        <v>-167</v>
      </c>
      <c r="AG91" s="213">
        <v>-167</v>
      </c>
      <c r="AH91" s="213">
        <v>-167</v>
      </c>
      <c r="AI91" s="213">
        <v>-167</v>
      </c>
      <c r="AJ91" s="214">
        <v>-1614</v>
      </c>
      <c r="AK91" s="218">
        <v>0</v>
      </c>
      <c r="AL91" s="213">
        <v>0</v>
      </c>
      <c r="AM91" s="213">
        <v>0</v>
      </c>
      <c r="AN91" s="213">
        <v>0</v>
      </c>
      <c r="AO91" s="213">
        <v>0</v>
      </c>
      <c r="AP91" s="214">
        <v>0</v>
      </c>
      <c r="AQ91" s="215">
        <v>0</v>
      </c>
      <c r="AR91" s="216">
        <v>0</v>
      </c>
      <c r="AS91" s="217">
        <v>0</v>
      </c>
      <c r="AT91" s="228">
        <v>17495</v>
      </c>
      <c r="AU91" s="229">
        <v>9937</v>
      </c>
      <c r="AV91" s="229">
        <v>13179</v>
      </c>
      <c r="AW91" s="230">
        <v>13179</v>
      </c>
      <c r="AX91" s="228">
        <v>17495</v>
      </c>
      <c r="AY91" s="229">
        <v>9937</v>
      </c>
      <c r="AZ91" s="229">
        <v>13179</v>
      </c>
      <c r="BA91" s="230">
        <v>13179</v>
      </c>
      <c r="BB91" s="228">
        <v>0</v>
      </c>
      <c r="BC91" s="229">
        <v>0</v>
      </c>
      <c r="BD91" s="229">
        <v>0</v>
      </c>
      <c r="BE91" s="230">
        <v>0</v>
      </c>
      <c r="BF91" s="215">
        <v>13454</v>
      </c>
      <c r="BG91" s="216">
        <v>13454</v>
      </c>
      <c r="BH91" s="217">
        <v>0</v>
      </c>
      <c r="BI91" s="196">
        <f t="shared" si="1"/>
        <v>0</v>
      </c>
    </row>
    <row r="92" spans="2:61">
      <c r="B92" s="195" t="s">
        <v>456</v>
      </c>
      <c r="C92" s="207">
        <v>3362</v>
      </c>
      <c r="D92" s="208">
        <v>3362</v>
      </c>
      <c r="E92" s="209">
        <v>1</v>
      </c>
      <c r="F92" s="209">
        <v>0</v>
      </c>
      <c r="G92" s="215">
        <v>3362</v>
      </c>
      <c r="H92" s="216">
        <v>3362</v>
      </c>
      <c r="I92" s="217">
        <v>0</v>
      </c>
      <c r="J92" s="215">
        <v>1552</v>
      </c>
      <c r="K92" s="216">
        <v>1552</v>
      </c>
      <c r="L92" s="216">
        <v>0</v>
      </c>
      <c r="M92" s="215">
        <v>0</v>
      </c>
      <c r="N92" s="216">
        <v>0</v>
      </c>
      <c r="O92" s="216">
        <v>0</v>
      </c>
      <c r="P92" s="215">
        <v>0</v>
      </c>
      <c r="Q92" s="216">
        <v>0</v>
      </c>
      <c r="R92" s="216">
        <v>0</v>
      </c>
      <c r="S92" s="215">
        <v>0</v>
      </c>
      <c r="T92" s="216">
        <v>0</v>
      </c>
      <c r="U92" s="216">
        <v>0</v>
      </c>
      <c r="V92" s="215">
        <v>875</v>
      </c>
      <c r="W92" s="216">
        <v>875</v>
      </c>
      <c r="X92" s="216">
        <v>0</v>
      </c>
      <c r="Y92" s="218">
        <v>-58</v>
      </c>
      <c r="Z92" s="213">
        <v>-58</v>
      </c>
      <c r="AA92" s="213">
        <v>-58</v>
      </c>
      <c r="AB92" s="213">
        <v>-58</v>
      </c>
      <c r="AC92" s="213">
        <v>-58</v>
      </c>
      <c r="AD92" s="214">
        <v>-585</v>
      </c>
      <c r="AE92" s="218">
        <v>-58</v>
      </c>
      <c r="AF92" s="213">
        <v>-58</v>
      </c>
      <c r="AG92" s="213">
        <v>-58</v>
      </c>
      <c r="AH92" s="213">
        <v>-58</v>
      </c>
      <c r="AI92" s="213">
        <v>-58</v>
      </c>
      <c r="AJ92" s="214">
        <v>-585</v>
      </c>
      <c r="AK92" s="218">
        <v>0</v>
      </c>
      <c r="AL92" s="213">
        <v>0</v>
      </c>
      <c r="AM92" s="213">
        <v>0</v>
      </c>
      <c r="AN92" s="213">
        <v>0</v>
      </c>
      <c r="AO92" s="213">
        <v>0</v>
      </c>
      <c r="AP92" s="214">
        <v>0</v>
      </c>
      <c r="AQ92" s="215">
        <v>0</v>
      </c>
      <c r="AR92" s="216">
        <v>0</v>
      </c>
      <c r="AS92" s="217">
        <v>0</v>
      </c>
      <c r="AT92" s="228">
        <v>4780</v>
      </c>
      <c r="AU92" s="229">
        <v>2527</v>
      </c>
      <c r="AV92" s="229">
        <v>3362</v>
      </c>
      <c r="AW92" s="230">
        <v>3362</v>
      </c>
      <c r="AX92" s="228">
        <v>4780</v>
      </c>
      <c r="AY92" s="229">
        <v>2527</v>
      </c>
      <c r="AZ92" s="229">
        <v>3362</v>
      </c>
      <c r="BA92" s="230">
        <v>3362</v>
      </c>
      <c r="BB92" s="228">
        <v>0</v>
      </c>
      <c r="BC92" s="229">
        <v>0</v>
      </c>
      <c r="BD92" s="229">
        <v>0</v>
      </c>
      <c r="BE92" s="230">
        <v>0</v>
      </c>
      <c r="BF92" s="215">
        <v>2685</v>
      </c>
      <c r="BG92" s="216">
        <v>2685</v>
      </c>
      <c r="BH92" s="217">
        <v>0</v>
      </c>
      <c r="BI92" s="196">
        <f t="shared" si="1"/>
        <v>0</v>
      </c>
    </row>
    <row r="93" spans="2:61">
      <c r="B93" s="195" t="s">
        <v>317</v>
      </c>
      <c r="C93" s="207">
        <v>14201792</v>
      </c>
      <c r="D93" s="208">
        <v>14201792</v>
      </c>
      <c r="E93" s="209">
        <v>1</v>
      </c>
      <c r="F93" s="209">
        <v>0</v>
      </c>
      <c r="G93" s="215">
        <v>14201792</v>
      </c>
      <c r="H93" s="216">
        <v>14201792</v>
      </c>
      <c r="I93" s="217">
        <v>0</v>
      </c>
      <c r="J93" s="215">
        <v>668305</v>
      </c>
      <c r="K93" s="216">
        <v>668305</v>
      </c>
      <c r="L93" s="216">
        <v>0</v>
      </c>
      <c r="M93" s="215">
        <v>0</v>
      </c>
      <c r="N93" s="216">
        <v>0</v>
      </c>
      <c r="O93" s="216">
        <v>0</v>
      </c>
      <c r="P93" s="215">
        <v>0</v>
      </c>
      <c r="Q93" s="216">
        <v>0</v>
      </c>
      <c r="R93" s="216">
        <v>0</v>
      </c>
      <c r="S93" s="215">
        <v>0</v>
      </c>
      <c r="T93" s="216">
        <v>0</v>
      </c>
      <c r="U93" s="216">
        <v>0</v>
      </c>
      <c r="V93" s="215">
        <v>1204420</v>
      </c>
      <c r="W93" s="216">
        <v>1204420</v>
      </c>
      <c r="X93" s="216">
        <v>0</v>
      </c>
      <c r="Y93" s="218">
        <v>-133825</v>
      </c>
      <c r="Z93" s="213">
        <v>-133825</v>
      </c>
      <c r="AA93" s="213">
        <v>-133825</v>
      </c>
      <c r="AB93" s="213">
        <v>-133825</v>
      </c>
      <c r="AC93" s="213">
        <v>-133825</v>
      </c>
      <c r="AD93" s="214">
        <v>-535295</v>
      </c>
      <c r="AE93" s="218">
        <v>-133825</v>
      </c>
      <c r="AF93" s="213">
        <v>-133825</v>
      </c>
      <c r="AG93" s="213">
        <v>-133825</v>
      </c>
      <c r="AH93" s="213">
        <v>-133825</v>
      </c>
      <c r="AI93" s="213">
        <v>-133825</v>
      </c>
      <c r="AJ93" s="214">
        <v>-535295</v>
      </c>
      <c r="AK93" s="218">
        <v>0</v>
      </c>
      <c r="AL93" s="213">
        <v>0</v>
      </c>
      <c r="AM93" s="213">
        <v>0</v>
      </c>
      <c r="AN93" s="213">
        <v>0</v>
      </c>
      <c r="AO93" s="213">
        <v>0</v>
      </c>
      <c r="AP93" s="214">
        <v>0</v>
      </c>
      <c r="AQ93" s="215">
        <v>520222</v>
      </c>
      <c r="AR93" s="216">
        <v>520222</v>
      </c>
      <c r="AS93" s="217">
        <v>0</v>
      </c>
      <c r="AT93" s="228">
        <v>16371289</v>
      </c>
      <c r="AU93" s="229">
        <v>12425621</v>
      </c>
      <c r="AV93" s="229">
        <v>14201792</v>
      </c>
      <c r="AW93" s="230">
        <v>14201792</v>
      </c>
      <c r="AX93" s="228">
        <v>16371289</v>
      </c>
      <c r="AY93" s="229">
        <v>12425621</v>
      </c>
      <c r="AZ93" s="229">
        <v>14201792</v>
      </c>
      <c r="BA93" s="230">
        <v>14201792</v>
      </c>
      <c r="BB93" s="228">
        <v>0</v>
      </c>
      <c r="BC93" s="229">
        <v>0</v>
      </c>
      <c r="BD93" s="229">
        <v>0</v>
      </c>
      <c r="BE93" s="230">
        <v>0</v>
      </c>
      <c r="BF93" s="215">
        <v>15237557</v>
      </c>
      <c r="BG93" s="216">
        <v>15237557</v>
      </c>
      <c r="BH93" s="217">
        <v>0</v>
      </c>
      <c r="BI93" s="196">
        <f t="shared" si="1"/>
        <v>0</v>
      </c>
    </row>
    <row r="94" spans="2:61">
      <c r="B94" s="195" t="s">
        <v>318</v>
      </c>
      <c r="C94" s="207">
        <v>304733</v>
      </c>
      <c r="D94" s="208">
        <v>304733</v>
      </c>
      <c r="E94" s="209">
        <v>1</v>
      </c>
      <c r="F94" s="209">
        <v>0</v>
      </c>
      <c r="G94" s="215">
        <v>304733</v>
      </c>
      <c r="H94" s="216">
        <v>304733</v>
      </c>
      <c r="I94" s="217">
        <v>0</v>
      </c>
      <c r="J94" s="215">
        <v>12970</v>
      </c>
      <c r="K94" s="216">
        <v>12970</v>
      </c>
      <c r="L94" s="216">
        <v>0</v>
      </c>
      <c r="M94" s="215">
        <v>0</v>
      </c>
      <c r="N94" s="216">
        <v>0</v>
      </c>
      <c r="O94" s="216">
        <v>0</v>
      </c>
      <c r="P94" s="215">
        <v>0</v>
      </c>
      <c r="Q94" s="216">
        <v>0</v>
      </c>
      <c r="R94" s="216">
        <v>0</v>
      </c>
      <c r="S94" s="215">
        <v>0</v>
      </c>
      <c r="T94" s="216">
        <v>0</v>
      </c>
      <c r="U94" s="216">
        <v>0</v>
      </c>
      <c r="V94" s="215">
        <v>22405</v>
      </c>
      <c r="W94" s="216">
        <v>22405</v>
      </c>
      <c r="X94" s="216">
        <v>0</v>
      </c>
      <c r="Y94" s="218">
        <v>-2910</v>
      </c>
      <c r="Z94" s="213">
        <v>-2910</v>
      </c>
      <c r="AA94" s="213">
        <v>-2910</v>
      </c>
      <c r="AB94" s="213">
        <v>-2910</v>
      </c>
      <c r="AC94" s="213">
        <v>-2910</v>
      </c>
      <c r="AD94" s="214">
        <v>-7855</v>
      </c>
      <c r="AE94" s="218">
        <v>-2910</v>
      </c>
      <c r="AF94" s="213">
        <v>-2910</v>
      </c>
      <c r="AG94" s="213">
        <v>-2910</v>
      </c>
      <c r="AH94" s="213">
        <v>-2910</v>
      </c>
      <c r="AI94" s="213">
        <v>-2910</v>
      </c>
      <c r="AJ94" s="214">
        <v>-7855</v>
      </c>
      <c r="AK94" s="218">
        <v>0</v>
      </c>
      <c r="AL94" s="213">
        <v>0</v>
      </c>
      <c r="AM94" s="213">
        <v>0</v>
      </c>
      <c r="AN94" s="213">
        <v>0</v>
      </c>
      <c r="AO94" s="213">
        <v>0</v>
      </c>
      <c r="AP94" s="214">
        <v>0</v>
      </c>
      <c r="AQ94" s="215">
        <v>16158</v>
      </c>
      <c r="AR94" s="216">
        <v>16158</v>
      </c>
      <c r="AS94" s="217">
        <v>0</v>
      </c>
      <c r="AT94" s="228">
        <v>345620</v>
      </c>
      <c r="AU94" s="229">
        <v>270848</v>
      </c>
      <c r="AV94" s="229">
        <v>304733</v>
      </c>
      <c r="AW94" s="230">
        <v>304733</v>
      </c>
      <c r="AX94" s="228">
        <v>345620</v>
      </c>
      <c r="AY94" s="229">
        <v>270848</v>
      </c>
      <c r="AZ94" s="229">
        <v>304733</v>
      </c>
      <c r="BA94" s="230">
        <v>304733</v>
      </c>
      <c r="BB94" s="228">
        <v>0</v>
      </c>
      <c r="BC94" s="229">
        <v>0</v>
      </c>
      <c r="BD94" s="229">
        <v>0</v>
      </c>
      <c r="BE94" s="230">
        <v>0</v>
      </c>
      <c r="BF94" s="215">
        <v>330518</v>
      </c>
      <c r="BG94" s="216">
        <v>330518</v>
      </c>
      <c r="BH94" s="217">
        <v>0</v>
      </c>
      <c r="BI94" s="196">
        <f t="shared" si="1"/>
        <v>0</v>
      </c>
    </row>
    <row r="95" spans="2:61">
      <c r="B95" s="195" t="s">
        <v>457</v>
      </c>
      <c r="C95" s="207">
        <v>87720</v>
      </c>
      <c r="D95" s="208">
        <v>87720</v>
      </c>
      <c r="E95" s="209">
        <v>1</v>
      </c>
      <c r="F95" s="209">
        <v>0</v>
      </c>
      <c r="G95" s="215">
        <v>87720</v>
      </c>
      <c r="H95" s="216">
        <v>87720</v>
      </c>
      <c r="I95" s="217">
        <v>0</v>
      </c>
      <c r="J95" s="215">
        <v>6044</v>
      </c>
      <c r="K95" s="216">
        <v>6044</v>
      </c>
      <c r="L95" s="216">
        <v>0</v>
      </c>
      <c r="M95" s="215">
        <v>0</v>
      </c>
      <c r="N95" s="216">
        <v>0</v>
      </c>
      <c r="O95" s="216">
        <v>0</v>
      </c>
      <c r="P95" s="215">
        <v>0</v>
      </c>
      <c r="Q95" s="216">
        <v>0</v>
      </c>
      <c r="R95" s="216">
        <v>0</v>
      </c>
      <c r="S95" s="215">
        <v>0</v>
      </c>
      <c r="T95" s="216">
        <v>0</v>
      </c>
      <c r="U95" s="216">
        <v>0</v>
      </c>
      <c r="V95" s="215">
        <v>11125</v>
      </c>
      <c r="W95" s="216">
        <v>11125</v>
      </c>
      <c r="X95" s="216">
        <v>0</v>
      </c>
      <c r="Y95" s="218">
        <v>-1113</v>
      </c>
      <c r="Z95" s="213">
        <v>-1113</v>
      </c>
      <c r="AA95" s="213">
        <v>-1113</v>
      </c>
      <c r="AB95" s="213">
        <v>-1113</v>
      </c>
      <c r="AC95" s="213">
        <v>-1113</v>
      </c>
      <c r="AD95" s="214">
        <v>-5560</v>
      </c>
      <c r="AE95" s="218">
        <v>-1113</v>
      </c>
      <c r="AF95" s="213">
        <v>-1113</v>
      </c>
      <c r="AG95" s="213">
        <v>-1113</v>
      </c>
      <c r="AH95" s="213">
        <v>-1113</v>
      </c>
      <c r="AI95" s="213">
        <v>-1113</v>
      </c>
      <c r="AJ95" s="214">
        <v>-5560</v>
      </c>
      <c r="AK95" s="218">
        <v>0</v>
      </c>
      <c r="AL95" s="213">
        <v>0</v>
      </c>
      <c r="AM95" s="213">
        <v>0</v>
      </c>
      <c r="AN95" s="213">
        <v>0</v>
      </c>
      <c r="AO95" s="213">
        <v>0</v>
      </c>
      <c r="AP95" s="214">
        <v>0</v>
      </c>
      <c r="AQ95" s="215">
        <v>27</v>
      </c>
      <c r="AR95" s="216">
        <v>27</v>
      </c>
      <c r="AS95" s="217">
        <v>0</v>
      </c>
      <c r="AT95" s="228">
        <v>107625</v>
      </c>
      <c r="AU95" s="229">
        <v>71984</v>
      </c>
      <c r="AV95" s="229">
        <v>87720</v>
      </c>
      <c r="AW95" s="230">
        <v>87720</v>
      </c>
      <c r="AX95" s="228">
        <v>107625</v>
      </c>
      <c r="AY95" s="229">
        <v>71984</v>
      </c>
      <c r="AZ95" s="229">
        <v>87720</v>
      </c>
      <c r="BA95" s="230">
        <v>87720</v>
      </c>
      <c r="BB95" s="228">
        <v>0</v>
      </c>
      <c r="BC95" s="229">
        <v>0</v>
      </c>
      <c r="BD95" s="229">
        <v>0</v>
      </c>
      <c r="BE95" s="230">
        <v>0</v>
      </c>
      <c r="BF95" s="215">
        <v>92801</v>
      </c>
      <c r="BG95" s="216">
        <v>92801</v>
      </c>
      <c r="BH95" s="217">
        <v>0</v>
      </c>
      <c r="BI95" s="196">
        <f t="shared" si="1"/>
        <v>0</v>
      </c>
    </row>
    <row r="96" spans="2:61">
      <c r="B96" s="195" t="s">
        <v>319</v>
      </c>
      <c r="C96" s="207">
        <v>1079384</v>
      </c>
      <c r="D96" s="208">
        <v>1079384</v>
      </c>
      <c r="E96" s="209">
        <v>1</v>
      </c>
      <c r="F96" s="209">
        <v>0</v>
      </c>
      <c r="G96" s="215">
        <v>1079384</v>
      </c>
      <c r="H96" s="216">
        <v>1079384</v>
      </c>
      <c r="I96" s="217">
        <v>0</v>
      </c>
      <c r="J96" s="215">
        <v>48531</v>
      </c>
      <c r="K96" s="216">
        <v>48531</v>
      </c>
      <c r="L96" s="216">
        <v>0</v>
      </c>
      <c r="M96" s="215">
        <v>0</v>
      </c>
      <c r="N96" s="216">
        <v>0</v>
      </c>
      <c r="O96" s="216">
        <v>0</v>
      </c>
      <c r="P96" s="215">
        <v>0</v>
      </c>
      <c r="Q96" s="216">
        <v>0</v>
      </c>
      <c r="R96" s="216">
        <v>0</v>
      </c>
      <c r="S96" s="215">
        <v>0</v>
      </c>
      <c r="T96" s="216">
        <v>0</v>
      </c>
      <c r="U96" s="216">
        <v>0</v>
      </c>
      <c r="V96" s="215">
        <v>86474</v>
      </c>
      <c r="W96" s="216">
        <v>86474</v>
      </c>
      <c r="X96" s="216">
        <v>0</v>
      </c>
      <c r="Y96" s="218">
        <v>-11086</v>
      </c>
      <c r="Z96" s="213">
        <v>-11086</v>
      </c>
      <c r="AA96" s="213">
        <v>-11086</v>
      </c>
      <c r="AB96" s="213">
        <v>-11086</v>
      </c>
      <c r="AC96" s="213">
        <v>-11086</v>
      </c>
      <c r="AD96" s="214">
        <v>-31044</v>
      </c>
      <c r="AE96" s="218">
        <v>-11086</v>
      </c>
      <c r="AF96" s="213">
        <v>-11086</v>
      </c>
      <c r="AG96" s="213">
        <v>-11086</v>
      </c>
      <c r="AH96" s="213">
        <v>-11086</v>
      </c>
      <c r="AI96" s="213">
        <v>-11086</v>
      </c>
      <c r="AJ96" s="214">
        <v>-31044</v>
      </c>
      <c r="AK96" s="218">
        <v>0</v>
      </c>
      <c r="AL96" s="213">
        <v>0</v>
      </c>
      <c r="AM96" s="213">
        <v>0</v>
      </c>
      <c r="AN96" s="213">
        <v>0</v>
      </c>
      <c r="AO96" s="213">
        <v>0</v>
      </c>
      <c r="AP96" s="214">
        <v>0</v>
      </c>
      <c r="AQ96" s="215">
        <v>45953</v>
      </c>
      <c r="AR96" s="216">
        <v>45953</v>
      </c>
      <c r="AS96" s="217">
        <v>0</v>
      </c>
      <c r="AT96" s="228">
        <v>1237721</v>
      </c>
      <c r="AU96" s="229">
        <v>948942</v>
      </c>
      <c r="AV96" s="229">
        <v>1079384</v>
      </c>
      <c r="AW96" s="230">
        <v>1079384</v>
      </c>
      <c r="AX96" s="228">
        <v>1237721</v>
      </c>
      <c r="AY96" s="229">
        <v>948942</v>
      </c>
      <c r="AZ96" s="229">
        <v>1079384</v>
      </c>
      <c r="BA96" s="230">
        <v>1079384</v>
      </c>
      <c r="BB96" s="228">
        <v>0</v>
      </c>
      <c r="BC96" s="229">
        <v>0</v>
      </c>
      <c r="BD96" s="229">
        <v>0</v>
      </c>
      <c r="BE96" s="230">
        <v>0</v>
      </c>
      <c r="BF96" s="215">
        <v>1163077</v>
      </c>
      <c r="BG96" s="216">
        <v>1163077</v>
      </c>
      <c r="BH96" s="217">
        <v>0</v>
      </c>
      <c r="BI96" s="196">
        <f t="shared" si="1"/>
        <v>0</v>
      </c>
    </row>
    <row r="97" spans="2:61">
      <c r="B97" s="195" t="s">
        <v>320</v>
      </c>
      <c r="C97" s="207">
        <v>2073345</v>
      </c>
      <c r="D97" s="208">
        <v>2073345</v>
      </c>
      <c r="E97" s="209">
        <v>1</v>
      </c>
      <c r="F97" s="209">
        <v>0</v>
      </c>
      <c r="G97" s="215">
        <v>2073345</v>
      </c>
      <c r="H97" s="216">
        <v>2073345</v>
      </c>
      <c r="I97" s="217">
        <v>0</v>
      </c>
      <c r="J97" s="215">
        <v>82972</v>
      </c>
      <c r="K97" s="216">
        <v>82972</v>
      </c>
      <c r="L97" s="216">
        <v>0</v>
      </c>
      <c r="M97" s="215">
        <v>0</v>
      </c>
      <c r="N97" s="216">
        <v>0</v>
      </c>
      <c r="O97" s="216">
        <v>0</v>
      </c>
      <c r="P97" s="215">
        <v>0</v>
      </c>
      <c r="Q97" s="216">
        <v>0</v>
      </c>
      <c r="R97" s="216">
        <v>0</v>
      </c>
      <c r="S97" s="215">
        <v>0</v>
      </c>
      <c r="T97" s="216">
        <v>0</v>
      </c>
      <c r="U97" s="216">
        <v>0</v>
      </c>
      <c r="V97" s="215">
        <v>165420</v>
      </c>
      <c r="W97" s="216">
        <v>165420</v>
      </c>
      <c r="X97" s="216">
        <v>0</v>
      </c>
      <c r="Y97" s="218">
        <v>-21766</v>
      </c>
      <c r="Z97" s="213">
        <v>-21766</v>
      </c>
      <c r="AA97" s="213">
        <v>-21766</v>
      </c>
      <c r="AB97" s="213">
        <v>-21766</v>
      </c>
      <c r="AC97" s="213">
        <v>-21766</v>
      </c>
      <c r="AD97" s="214">
        <v>-56590</v>
      </c>
      <c r="AE97" s="218">
        <v>-21766</v>
      </c>
      <c r="AF97" s="213">
        <v>-21766</v>
      </c>
      <c r="AG97" s="213">
        <v>-21766</v>
      </c>
      <c r="AH97" s="213">
        <v>-21766</v>
      </c>
      <c r="AI97" s="213">
        <v>-21766</v>
      </c>
      <c r="AJ97" s="214">
        <v>-56590</v>
      </c>
      <c r="AK97" s="218">
        <v>0</v>
      </c>
      <c r="AL97" s="213">
        <v>0</v>
      </c>
      <c r="AM97" s="213">
        <v>0</v>
      </c>
      <c r="AN97" s="213">
        <v>0</v>
      </c>
      <c r="AO97" s="213">
        <v>0</v>
      </c>
      <c r="AP97" s="214">
        <v>0</v>
      </c>
      <c r="AQ97" s="215">
        <v>89554</v>
      </c>
      <c r="AR97" s="216">
        <v>89554</v>
      </c>
      <c r="AS97" s="217">
        <v>0</v>
      </c>
      <c r="AT97" s="228">
        <v>2376717</v>
      </c>
      <c r="AU97" s="229">
        <v>1824143</v>
      </c>
      <c r="AV97" s="229">
        <v>2073345</v>
      </c>
      <c r="AW97" s="230">
        <v>2073345</v>
      </c>
      <c r="AX97" s="228">
        <v>2376717</v>
      </c>
      <c r="AY97" s="229">
        <v>1824143</v>
      </c>
      <c r="AZ97" s="229">
        <v>2073345</v>
      </c>
      <c r="BA97" s="230">
        <v>2073345</v>
      </c>
      <c r="BB97" s="228">
        <v>0</v>
      </c>
      <c r="BC97" s="229">
        <v>0</v>
      </c>
      <c r="BD97" s="229">
        <v>0</v>
      </c>
      <c r="BE97" s="230">
        <v>0</v>
      </c>
      <c r="BF97" s="215">
        <v>2239643</v>
      </c>
      <c r="BG97" s="216">
        <v>2239643</v>
      </c>
      <c r="BH97" s="217">
        <v>0</v>
      </c>
      <c r="BI97" s="196">
        <f t="shared" si="1"/>
        <v>0</v>
      </c>
    </row>
    <row r="98" spans="2:61">
      <c r="B98" s="195" t="s">
        <v>321</v>
      </c>
      <c r="C98" s="207">
        <v>0</v>
      </c>
      <c r="D98" s="208">
        <v>0</v>
      </c>
      <c r="E98" s="209">
        <v>0</v>
      </c>
      <c r="F98" s="209">
        <v>1</v>
      </c>
      <c r="G98" s="215">
        <v>0</v>
      </c>
      <c r="H98" s="216">
        <v>0</v>
      </c>
      <c r="I98" s="217">
        <v>0</v>
      </c>
      <c r="J98" s="215">
        <v>0</v>
      </c>
      <c r="K98" s="216">
        <v>0</v>
      </c>
      <c r="L98" s="216">
        <v>0</v>
      </c>
      <c r="M98" s="215">
        <v>0</v>
      </c>
      <c r="N98" s="216">
        <v>0</v>
      </c>
      <c r="O98" s="216">
        <v>0</v>
      </c>
      <c r="P98" s="215">
        <v>0</v>
      </c>
      <c r="Q98" s="216">
        <v>0</v>
      </c>
      <c r="R98" s="216">
        <v>0</v>
      </c>
      <c r="S98" s="215">
        <v>0</v>
      </c>
      <c r="T98" s="216">
        <v>0</v>
      </c>
      <c r="U98" s="216">
        <v>0</v>
      </c>
      <c r="V98" s="215">
        <v>0</v>
      </c>
      <c r="W98" s="216">
        <v>0</v>
      </c>
      <c r="X98" s="216">
        <v>0</v>
      </c>
      <c r="Y98" s="218">
        <v>0</v>
      </c>
      <c r="Z98" s="213">
        <v>0</v>
      </c>
      <c r="AA98" s="213">
        <v>0</v>
      </c>
      <c r="AB98" s="213">
        <v>0</v>
      </c>
      <c r="AC98" s="213">
        <v>0</v>
      </c>
      <c r="AD98" s="214">
        <v>0</v>
      </c>
      <c r="AE98" s="218">
        <v>0</v>
      </c>
      <c r="AF98" s="213">
        <v>0</v>
      </c>
      <c r="AG98" s="213">
        <v>0</v>
      </c>
      <c r="AH98" s="213">
        <v>0</v>
      </c>
      <c r="AI98" s="213">
        <v>0</v>
      </c>
      <c r="AJ98" s="214">
        <v>0</v>
      </c>
      <c r="AK98" s="218">
        <v>0</v>
      </c>
      <c r="AL98" s="213">
        <v>0</v>
      </c>
      <c r="AM98" s="213">
        <v>0</v>
      </c>
      <c r="AN98" s="213">
        <v>0</v>
      </c>
      <c r="AO98" s="213">
        <v>0</v>
      </c>
      <c r="AP98" s="214">
        <v>0</v>
      </c>
      <c r="AQ98" s="215">
        <v>0</v>
      </c>
      <c r="AR98" s="216">
        <v>0</v>
      </c>
      <c r="AS98" s="217">
        <v>0</v>
      </c>
      <c r="AT98" s="228">
        <v>0</v>
      </c>
      <c r="AU98" s="229">
        <v>0</v>
      </c>
      <c r="AV98" s="229">
        <v>0</v>
      </c>
      <c r="AW98" s="230">
        <v>0</v>
      </c>
      <c r="AX98" s="228">
        <v>0</v>
      </c>
      <c r="AY98" s="229">
        <v>0</v>
      </c>
      <c r="AZ98" s="229">
        <v>0</v>
      </c>
      <c r="BA98" s="230">
        <v>0</v>
      </c>
      <c r="BB98" s="228">
        <v>0</v>
      </c>
      <c r="BC98" s="229">
        <v>0</v>
      </c>
      <c r="BD98" s="229">
        <v>0</v>
      </c>
      <c r="BE98" s="230">
        <v>0</v>
      </c>
      <c r="BF98" s="215">
        <v>0</v>
      </c>
      <c r="BG98" s="216">
        <v>0</v>
      </c>
      <c r="BH98" s="217">
        <v>0</v>
      </c>
      <c r="BI98" s="196">
        <f t="shared" si="1"/>
        <v>0</v>
      </c>
    </row>
    <row r="99" spans="2:61">
      <c r="B99" s="195" t="s">
        <v>322</v>
      </c>
      <c r="C99" s="207">
        <v>694199</v>
      </c>
      <c r="D99" s="208">
        <v>694199</v>
      </c>
      <c r="E99" s="209">
        <v>1</v>
      </c>
      <c r="F99" s="209">
        <v>0</v>
      </c>
      <c r="G99" s="215">
        <v>694199</v>
      </c>
      <c r="H99" s="216">
        <v>694199</v>
      </c>
      <c r="I99" s="217">
        <v>0</v>
      </c>
      <c r="J99" s="215">
        <v>33567</v>
      </c>
      <c r="K99" s="216">
        <v>33567</v>
      </c>
      <c r="L99" s="216">
        <v>0</v>
      </c>
      <c r="M99" s="215">
        <v>0</v>
      </c>
      <c r="N99" s="216">
        <v>0</v>
      </c>
      <c r="O99" s="216">
        <v>0</v>
      </c>
      <c r="P99" s="215">
        <v>0</v>
      </c>
      <c r="Q99" s="216">
        <v>0</v>
      </c>
      <c r="R99" s="216">
        <v>0</v>
      </c>
      <c r="S99" s="215">
        <v>0</v>
      </c>
      <c r="T99" s="216">
        <v>0</v>
      </c>
      <c r="U99" s="216">
        <v>0</v>
      </c>
      <c r="V99" s="215">
        <v>62716</v>
      </c>
      <c r="W99" s="216">
        <v>62716</v>
      </c>
      <c r="X99" s="216">
        <v>0</v>
      </c>
      <c r="Y99" s="218">
        <v>-6892</v>
      </c>
      <c r="Z99" s="213">
        <v>-6892</v>
      </c>
      <c r="AA99" s="213">
        <v>-6892</v>
      </c>
      <c r="AB99" s="213">
        <v>-6892</v>
      </c>
      <c r="AC99" s="213">
        <v>-6892</v>
      </c>
      <c r="AD99" s="214">
        <v>-28256</v>
      </c>
      <c r="AE99" s="218">
        <v>-6892</v>
      </c>
      <c r="AF99" s="213">
        <v>-6892</v>
      </c>
      <c r="AG99" s="213">
        <v>-6892</v>
      </c>
      <c r="AH99" s="213">
        <v>-6892</v>
      </c>
      <c r="AI99" s="213">
        <v>-6892</v>
      </c>
      <c r="AJ99" s="214">
        <v>-28256</v>
      </c>
      <c r="AK99" s="218">
        <v>0</v>
      </c>
      <c r="AL99" s="213">
        <v>0</v>
      </c>
      <c r="AM99" s="213">
        <v>0</v>
      </c>
      <c r="AN99" s="213">
        <v>0</v>
      </c>
      <c r="AO99" s="213">
        <v>0</v>
      </c>
      <c r="AP99" s="214">
        <v>0</v>
      </c>
      <c r="AQ99" s="215">
        <v>27148</v>
      </c>
      <c r="AR99" s="216">
        <v>27148</v>
      </c>
      <c r="AS99" s="217">
        <v>0</v>
      </c>
      <c r="AT99" s="228">
        <v>807232</v>
      </c>
      <c r="AU99" s="229">
        <v>602326</v>
      </c>
      <c r="AV99" s="229">
        <v>694199</v>
      </c>
      <c r="AW99" s="230">
        <v>694199</v>
      </c>
      <c r="AX99" s="228">
        <v>807232</v>
      </c>
      <c r="AY99" s="229">
        <v>602326</v>
      </c>
      <c r="AZ99" s="229">
        <v>694199</v>
      </c>
      <c r="BA99" s="230">
        <v>694199</v>
      </c>
      <c r="BB99" s="228">
        <v>0</v>
      </c>
      <c r="BC99" s="229">
        <v>0</v>
      </c>
      <c r="BD99" s="229">
        <v>0</v>
      </c>
      <c r="BE99" s="230">
        <v>0</v>
      </c>
      <c r="BF99" s="215">
        <v>750798</v>
      </c>
      <c r="BG99" s="216">
        <v>750798</v>
      </c>
      <c r="BH99" s="217">
        <v>0</v>
      </c>
      <c r="BI99" s="196">
        <f t="shared" si="1"/>
        <v>0</v>
      </c>
    </row>
    <row r="100" spans="2:61">
      <c r="B100" s="195" t="s">
        <v>323</v>
      </c>
      <c r="C100" s="207">
        <v>477769</v>
      </c>
      <c r="D100" s="208">
        <v>477769</v>
      </c>
      <c r="E100" s="209">
        <v>1</v>
      </c>
      <c r="F100" s="209">
        <v>0</v>
      </c>
      <c r="G100" s="215">
        <v>477769</v>
      </c>
      <c r="H100" s="216">
        <v>477769</v>
      </c>
      <c r="I100" s="217">
        <v>0</v>
      </c>
      <c r="J100" s="215">
        <v>20652</v>
      </c>
      <c r="K100" s="216">
        <v>20652</v>
      </c>
      <c r="L100" s="216">
        <v>0</v>
      </c>
      <c r="M100" s="215">
        <v>0</v>
      </c>
      <c r="N100" s="216">
        <v>0</v>
      </c>
      <c r="O100" s="216">
        <v>0</v>
      </c>
      <c r="P100" s="215">
        <v>0</v>
      </c>
      <c r="Q100" s="216">
        <v>0</v>
      </c>
      <c r="R100" s="216">
        <v>0</v>
      </c>
      <c r="S100" s="215">
        <v>0</v>
      </c>
      <c r="T100" s="216">
        <v>0</v>
      </c>
      <c r="U100" s="216">
        <v>0</v>
      </c>
      <c r="V100" s="215">
        <v>39056</v>
      </c>
      <c r="W100" s="216">
        <v>39056</v>
      </c>
      <c r="X100" s="216">
        <v>0</v>
      </c>
      <c r="Y100" s="218">
        <v>-4706</v>
      </c>
      <c r="Z100" s="213">
        <v>-4706</v>
      </c>
      <c r="AA100" s="213">
        <v>-4706</v>
      </c>
      <c r="AB100" s="213">
        <v>-4706</v>
      </c>
      <c r="AC100" s="213">
        <v>-4706</v>
      </c>
      <c r="AD100" s="214">
        <v>-15526</v>
      </c>
      <c r="AE100" s="218">
        <v>-4706</v>
      </c>
      <c r="AF100" s="213">
        <v>-4706</v>
      </c>
      <c r="AG100" s="213">
        <v>-4706</v>
      </c>
      <c r="AH100" s="213">
        <v>-4706</v>
      </c>
      <c r="AI100" s="213">
        <v>-4706</v>
      </c>
      <c r="AJ100" s="214">
        <v>-15526</v>
      </c>
      <c r="AK100" s="218">
        <v>0</v>
      </c>
      <c r="AL100" s="213">
        <v>0</v>
      </c>
      <c r="AM100" s="213">
        <v>0</v>
      </c>
      <c r="AN100" s="213">
        <v>0</v>
      </c>
      <c r="AO100" s="213">
        <v>0</v>
      </c>
      <c r="AP100" s="214">
        <v>0</v>
      </c>
      <c r="AQ100" s="215">
        <v>19838</v>
      </c>
      <c r="AR100" s="216">
        <v>19838</v>
      </c>
      <c r="AS100" s="217">
        <v>0</v>
      </c>
      <c r="AT100" s="228">
        <v>548840</v>
      </c>
      <c r="AU100" s="229">
        <v>419419</v>
      </c>
      <c r="AV100" s="229">
        <v>477769</v>
      </c>
      <c r="AW100" s="230">
        <v>477769</v>
      </c>
      <c r="AX100" s="228">
        <v>548840</v>
      </c>
      <c r="AY100" s="229">
        <v>419419</v>
      </c>
      <c r="AZ100" s="229">
        <v>477769</v>
      </c>
      <c r="BA100" s="230">
        <v>477769</v>
      </c>
      <c r="BB100" s="228">
        <v>0</v>
      </c>
      <c r="BC100" s="229">
        <v>0</v>
      </c>
      <c r="BD100" s="229">
        <v>0</v>
      </c>
      <c r="BE100" s="230">
        <v>0</v>
      </c>
      <c r="BF100" s="215">
        <v>515673</v>
      </c>
      <c r="BG100" s="216">
        <v>515673</v>
      </c>
      <c r="BH100" s="217">
        <v>0</v>
      </c>
      <c r="BI100" s="196">
        <f t="shared" si="1"/>
        <v>0</v>
      </c>
    </row>
    <row r="101" spans="2:61">
      <c r="B101" s="195" t="s">
        <v>324</v>
      </c>
      <c r="C101" s="207">
        <v>439348</v>
      </c>
      <c r="D101" s="208">
        <v>439348</v>
      </c>
      <c r="E101" s="209">
        <v>1</v>
      </c>
      <c r="F101" s="209">
        <v>0</v>
      </c>
      <c r="G101" s="215">
        <v>439348</v>
      </c>
      <c r="H101" s="216">
        <v>439348</v>
      </c>
      <c r="I101" s="217">
        <v>0</v>
      </c>
      <c r="J101" s="215">
        <v>20255</v>
      </c>
      <c r="K101" s="216">
        <v>20255</v>
      </c>
      <c r="L101" s="216">
        <v>0</v>
      </c>
      <c r="M101" s="215">
        <v>0</v>
      </c>
      <c r="N101" s="216">
        <v>0</v>
      </c>
      <c r="O101" s="216">
        <v>0</v>
      </c>
      <c r="P101" s="215">
        <v>0</v>
      </c>
      <c r="Q101" s="216">
        <v>0</v>
      </c>
      <c r="R101" s="216">
        <v>0</v>
      </c>
      <c r="S101" s="215">
        <v>0</v>
      </c>
      <c r="T101" s="216">
        <v>0</v>
      </c>
      <c r="U101" s="216">
        <v>0</v>
      </c>
      <c r="V101" s="215">
        <v>36428</v>
      </c>
      <c r="W101" s="216">
        <v>36428</v>
      </c>
      <c r="X101" s="216">
        <v>0</v>
      </c>
      <c r="Y101" s="218">
        <v>-4611</v>
      </c>
      <c r="Z101" s="213">
        <v>-4611</v>
      </c>
      <c r="AA101" s="213">
        <v>-4611</v>
      </c>
      <c r="AB101" s="213">
        <v>-4611</v>
      </c>
      <c r="AC101" s="213">
        <v>-4611</v>
      </c>
      <c r="AD101" s="214">
        <v>-13373</v>
      </c>
      <c r="AE101" s="218">
        <v>-4611</v>
      </c>
      <c r="AF101" s="213">
        <v>-4611</v>
      </c>
      <c r="AG101" s="213">
        <v>-4611</v>
      </c>
      <c r="AH101" s="213">
        <v>-4611</v>
      </c>
      <c r="AI101" s="213">
        <v>-4611</v>
      </c>
      <c r="AJ101" s="214">
        <v>-13373</v>
      </c>
      <c r="AK101" s="218">
        <v>0</v>
      </c>
      <c r="AL101" s="213">
        <v>0</v>
      </c>
      <c r="AM101" s="213">
        <v>0</v>
      </c>
      <c r="AN101" s="213">
        <v>0</v>
      </c>
      <c r="AO101" s="213">
        <v>0</v>
      </c>
      <c r="AP101" s="214">
        <v>0</v>
      </c>
      <c r="AQ101" s="215">
        <v>17812</v>
      </c>
      <c r="AR101" s="216">
        <v>17812</v>
      </c>
      <c r="AS101" s="217">
        <v>0</v>
      </c>
      <c r="AT101" s="228">
        <v>505899</v>
      </c>
      <c r="AU101" s="229">
        <v>384552</v>
      </c>
      <c r="AV101" s="229">
        <v>439348</v>
      </c>
      <c r="AW101" s="230">
        <v>439348</v>
      </c>
      <c r="AX101" s="228">
        <v>505899</v>
      </c>
      <c r="AY101" s="229">
        <v>384552</v>
      </c>
      <c r="AZ101" s="229">
        <v>439348</v>
      </c>
      <c r="BA101" s="230">
        <v>439348</v>
      </c>
      <c r="BB101" s="228">
        <v>0</v>
      </c>
      <c r="BC101" s="229">
        <v>0</v>
      </c>
      <c r="BD101" s="229">
        <v>0</v>
      </c>
      <c r="BE101" s="230">
        <v>0</v>
      </c>
      <c r="BF101" s="215">
        <v>472921</v>
      </c>
      <c r="BG101" s="216">
        <v>472921</v>
      </c>
      <c r="BH101" s="217">
        <v>0</v>
      </c>
      <c r="BI101" s="196">
        <f t="shared" si="1"/>
        <v>0</v>
      </c>
    </row>
    <row r="102" spans="2:61">
      <c r="B102" s="195" t="s">
        <v>325</v>
      </c>
      <c r="C102" s="207">
        <v>333076</v>
      </c>
      <c r="D102" s="208">
        <v>333076</v>
      </c>
      <c r="E102" s="209">
        <v>1</v>
      </c>
      <c r="F102" s="209">
        <v>0</v>
      </c>
      <c r="G102" s="215">
        <v>333076</v>
      </c>
      <c r="H102" s="216">
        <v>333076</v>
      </c>
      <c r="I102" s="217">
        <v>0</v>
      </c>
      <c r="J102" s="215">
        <v>13520</v>
      </c>
      <c r="K102" s="216">
        <v>13520</v>
      </c>
      <c r="L102" s="216">
        <v>0</v>
      </c>
      <c r="M102" s="215">
        <v>0</v>
      </c>
      <c r="N102" s="216">
        <v>0</v>
      </c>
      <c r="O102" s="216">
        <v>0</v>
      </c>
      <c r="P102" s="215">
        <v>0</v>
      </c>
      <c r="Q102" s="216">
        <v>0</v>
      </c>
      <c r="R102" s="216">
        <v>0</v>
      </c>
      <c r="S102" s="215">
        <v>0</v>
      </c>
      <c r="T102" s="216">
        <v>0</v>
      </c>
      <c r="U102" s="216">
        <v>0</v>
      </c>
      <c r="V102" s="215">
        <v>24536</v>
      </c>
      <c r="W102" s="216">
        <v>24536</v>
      </c>
      <c r="X102" s="216">
        <v>0</v>
      </c>
      <c r="Y102" s="218">
        <v>-3187</v>
      </c>
      <c r="Z102" s="213">
        <v>-3187</v>
      </c>
      <c r="AA102" s="213">
        <v>-3187</v>
      </c>
      <c r="AB102" s="213">
        <v>-3187</v>
      </c>
      <c r="AC102" s="213">
        <v>-3187</v>
      </c>
      <c r="AD102" s="214">
        <v>-8601</v>
      </c>
      <c r="AE102" s="218">
        <v>-3187</v>
      </c>
      <c r="AF102" s="213">
        <v>-3187</v>
      </c>
      <c r="AG102" s="213">
        <v>-3187</v>
      </c>
      <c r="AH102" s="213">
        <v>-3187</v>
      </c>
      <c r="AI102" s="213">
        <v>-3187</v>
      </c>
      <c r="AJ102" s="214">
        <v>-8601</v>
      </c>
      <c r="AK102" s="218">
        <v>0</v>
      </c>
      <c r="AL102" s="213">
        <v>0</v>
      </c>
      <c r="AM102" s="213">
        <v>0</v>
      </c>
      <c r="AN102" s="213">
        <v>0</v>
      </c>
      <c r="AO102" s="213">
        <v>0</v>
      </c>
      <c r="AP102" s="214">
        <v>0</v>
      </c>
      <c r="AQ102" s="215">
        <v>16108</v>
      </c>
      <c r="AR102" s="216">
        <v>16108</v>
      </c>
      <c r="AS102" s="217">
        <v>0</v>
      </c>
      <c r="AT102" s="228">
        <v>378017</v>
      </c>
      <c r="AU102" s="229">
        <v>295615</v>
      </c>
      <c r="AV102" s="229">
        <v>333076</v>
      </c>
      <c r="AW102" s="230">
        <v>333076</v>
      </c>
      <c r="AX102" s="228">
        <v>378017</v>
      </c>
      <c r="AY102" s="229">
        <v>295615</v>
      </c>
      <c r="AZ102" s="229">
        <v>333076</v>
      </c>
      <c r="BA102" s="230">
        <v>333076</v>
      </c>
      <c r="BB102" s="228">
        <v>0</v>
      </c>
      <c r="BC102" s="229">
        <v>0</v>
      </c>
      <c r="BD102" s="229">
        <v>0</v>
      </c>
      <c r="BE102" s="230">
        <v>0</v>
      </c>
      <c r="BF102" s="215">
        <v>359242</v>
      </c>
      <c r="BG102" s="216">
        <v>359242</v>
      </c>
      <c r="BH102" s="217">
        <v>0</v>
      </c>
      <c r="BI102" s="196">
        <f t="shared" si="1"/>
        <v>0</v>
      </c>
    </row>
    <row r="103" spans="2:61">
      <c r="B103" s="195" t="s">
        <v>326</v>
      </c>
      <c r="C103" s="207">
        <v>949</v>
      </c>
      <c r="D103" s="208">
        <v>949</v>
      </c>
      <c r="E103" s="209">
        <v>1</v>
      </c>
      <c r="F103" s="209">
        <v>0</v>
      </c>
      <c r="G103" s="215">
        <v>949</v>
      </c>
      <c r="H103" s="216">
        <v>949</v>
      </c>
      <c r="I103" s="217">
        <v>0</v>
      </c>
      <c r="J103" s="215">
        <v>43</v>
      </c>
      <c r="K103" s="216">
        <v>43</v>
      </c>
      <c r="L103" s="216">
        <v>0</v>
      </c>
      <c r="M103" s="215">
        <v>0</v>
      </c>
      <c r="N103" s="216">
        <v>0</v>
      </c>
      <c r="O103" s="216">
        <v>0</v>
      </c>
      <c r="P103" s="215">
        <v>0</v>
      </c>
      <c r="Q103" s="216">
        <v>0</v>
      </c>
      <c r="R103" s="216">
        <v>0</v>
      </c>
      <c r="S103" s="215">
        <v>0</v>
      </c>
      <c r="T103" s="216">
        <v>0</v>
      </c>
      <c r="U103" s="216">
        <v>0</v>
      </c>
      <c r="V103" s="215">
        <v>66</v>
      </c>
      <c r="W103" s="216">
        <v>66</v>
      </c>
      <c r="X103" s="216">
        <v>0</v>
      </c>
      <c r="Y103" s="218">
        <v>-32</v>
      </c>
      <c r="Z103" s="213">
        <v>-32</v>
      </c>
      <c r="AA103" s="213">
        <v>-2</v>
      </c>
      <c r="AB103" s="213">
        <v>0</v>
      </c>
      <c r="AC103" s="213">
        <v>0</v>
      </c>
      <c r="AD103" s="214">
        <v>0</v>
      </c>
      <c r="AE103" s="218">
        <v>-32</v>
      </c>
      <c r="AF103" s="213">
        <v>-32</v>
      </c>
      <c r="AG103" s="213">
        <v>-2</v>
      </c>
      <c r="AH103" s="213">
        <v>0</v>
      </c>
      <c r="AI103" s="213">
        <v>0</v>
      </c>
      <c r="AJ103" s="214">
        <v>0</v>
      </c>
      <c r="AK103" s="218">
        <v>0</v>
      </c>
      <c r="AL103" s="213">
        <v>0</v>
      </c>
      <c r="AM103" s="213">
        <v>0</v>
      </c>
      <c r="AN103" s="213">
        <v>0</v>
      </c>
      <c r="AO103" s="213">
        <v>0</v>
      </c>
      <c r="AP103" s="214">
        <v>0</v>
      </c>
      <c r="AQ103" s="215">
        <v>0</v>
      </c>
      <c r="AR103" s="216">
        <v>0</v>
      </c>
      <c r="AS103" s="217">
        <v>0</v>
      </c>
      <c r="AT103" s="228">
        <v>1111</v>
      </c>
      <c r="AU103" s="229">
        <v>820</v>
      </c>
      <c r="AV103" s="229">
        <v>949</v>
      </c>
      <c r="AW103" s="230">
        <v>949</v>
      </c>
      <c r="AX103" s="228">
        <v>1111</v>
      </c>
      <c r="AY103" s="229">
        <v>820</v>
      </c>
      <c r="AZ103" s="229">
        <v>949</v>
      </c>
      <c r="BA103" s="230">
        <v>949</v>
      </c>
      <c r="BB103" s="228">
        <v>0</v>
      </c>
      <c r="BC103" s="229">
        <v>0</v>
      </c>
      <c r="BD103" s="229">
        <v>0</v>
      </c>
      <c r="BE103" s="230">
        <v>0</v>
      </c>
      <c r="BF103" s="215">
        <v>972</v>
      </c>
      <c r="BG103" s="216">
        <v>972</v>
      </c>
      <c r="BH103" s="217">
        <v>0</v>
      </c>
      <c r="BI103" s="196">
        <f t="shared" si="1"/>
        <v>0</v>
      </c>
    </row>
    <row r="104" spans="2:61">
      <c r="B104" s="195" t="s">
        <v>327</v>
      </c>
      <c r="C104" s="207">
        <v>908538</v>
      </c>
      <c r="D104" s="208">
        <v>908538</v>
      </c>
      <c r="E104" s="209">
        <v>1</v>
      </c>
      <c r="F104" s="209">
        <v>0</v>
      </c>
      <c r="G104" s="215">
        <v>908538</v>
      </c>
      <c r="H104" s="216">
        <v>908538</v>
      </c>
      <c r="I104" s="217">
        <v>0</v>
      </c>
      <c r="J104" s="215">
        <v>40514</v>
      </c>
      <c r="K104" s="216">
        <v>40514</v>
      </c>
      <c r="L104" s="216">
        <v>0</v>
      </c>
      <c r="M104" s="215">
        <v>0</v>
      </c>
      <c r="N104" s="216">
        <v>0</v>
      </c>
      <c r="O104" s="216">
        <v>0</v>
      </c>
      <c r="P104" s="215">
        <v>0</v>
      </c>
      <c r="Q104" s="216">
        <v>0</v>
      </c>
      <c r="R104" s="216">
        <v>0</v>
      </c>
      <c r="S104" s="215">
        <v>0</v>
      </c>
      <c r="T104" s="216">
        <v>0</v>
      </c>
      <c r="U104" s="216">
        <v>0</v>
      </c>
      <c r="V104" s="215">
        <v>75209</v>
      </c>
      <c r="W104" s="216">
        <v>75209</v>
      </c>
      <c r="X104" s="216">
        <v>0</v>
      </c>
      <c r="Y104" s="218">
        <v>-9172</v>
      </c>
      <c r="Z104" s="213">
        <v>-9172</v>
      </c>
      <c r="AA104" s="213">
        <v>-9172</v>
      </c>
      <c r="AB104" s="213">
        <v>-9172</v>
      </c>
      <c r="AC104" s="213">
        <v>-9172</v>
      </c>
      <c r="AD104" s="214">
        <v>-29349</v>
      </c>
      <c r="AE104" s="218">
        <v>-9172</v>
      </c>
      <c r="AF104" s="213">
        <v>-9172</v>
      </c>
      <c r="AG104" s="213">
        <v>-9172</v>
      </c>
      <c r="AH104" s="213">
        <v>-9172</v>
      </c>
      <c r="AI104" s="213">
        <v>-9172</v>
      </c>
      <c r="AJ104" s="214">
        <v>-29349</v>
      </c>
      <c r="AK104" s="218">
        <v>0</v>
      </c>
      <c r="AL104" s="213">
        <v>0</v>
      </c>
      <c r="AM104" s="213">
        <v>0</v>
      </c>
      <c r="AN104" s="213">
        <v>0</v>
      </c>
      <c r="AO104" s="213">
        <v>0</v>
      </c>
      <c r="AP104" s="214">
        <v>0</v>
      </c>
      <c r="AQ104" s="215">
        <v>36009</v>
      </c>
      <c r="AR104" s="216">
        <v>36009</v>
      </c>
      <c r="AS104" s="217">
        <v>0</v>
      </c>
      <c r="AT104" s="228">
        <v>1044899</v>
      </c>
      <c r="AU104" s="229">
        <v>796393</v>
      </c>
      <c r="AV104" s="229">
        <v>908538</v>
      </c>
      <c r="AW104" s="230">
        <v>908538</v>
      </c>
      <c r="AX104" s="228">
        <v>1044899</v>
      </c>
      <c r="AY104" s="229">
        <v>796393</v>
      </c>
      <c r="AZ104" s="229">
        <v>908538</v>
      </c>
      <c r="BA104" s="230">
        <v>908538</v>
      </c>
      <c r="BB104" s="228">
        <v>0</v>
      </c>
      <c r="BC104" s="229">
        <v>0</v>
      </c>
      <c r="BD104" s="229">
        <v>0</v>
      </c>
      <c r="BE104" s="230">
        <v>0</v>
      </c>
      <c r="BF104" s="215">
        <v>978783</v>
      </c>
      <c r="BG104" s="216">
        <v>978783</v>
      </c>
      <c r="BH104" s="217">
        <v>0</v>
      </c>
      <c r="BI104" s="196">
        <f t="shared" si="1"/>
        <v>0</v>
      </c>
    </row>
    <row r="105" spans="2:61">
      <c r="B105" s="195" t="s">
        <v>328</v>
      </c>
      <c r="C105" s="207">
        <v>5973</v>
      </c>
      <c r="D105" s="208">
        <v>5973</v>
      </c>
      <c r="E105" s="209">
        <v>1</v>
      </c>
      <c r="F105" s="209">
        <v>0</v>
      </c>
      <c r="G105" s="215">
        <v>5973</v>
      </c>
      <c r="H105" s="216">
        <v>5973</v>
      </c>
      <c r="I105" s="217">
        <v>0</v>
      </c>
      <c r="J105" s="215">
        <v>-323</v>
      </c>
      <c r="K105" s="216">
        <v>-323</v>
      </c>
      <c r="L105" s="216">
        <v>0</v>
      </c>
      <c r="M105" s="215">
        <v>0</v>
      </c>
      <c r="N105" s="216">
        <v>0</v>
      </c>
      <c r="O105" s="216">
        <v>0</v>
      </c>
      <c r="P105" s="215">
        <v>0</v>
      </c>
      <c r="Q105" s="216">
        <v>0</v>
      </c>
      <c r="R105" s="216">
        <v>0</v>
      </c>
      <c r="S105" s="215">
        <v>0</v>
      </c>
      <c r="T105" s="216">
        <v>0</v>
      </c>
      <c r="U105" s="216">
        <v>0</v>
      </c>
      <c r="V105" s="215">
        <v>0</v>
      </c>
      <c r="W105" s="216">
        <v>0</v>
      </c>
      <c r="X105" s="216">
        <v>0</v>
      </c>
      <c r="Y105" s="218">
        <v>0</v>
      </c>
      <c r="Z105" s="213">
        <v>0</v>
      </c>
      <c r="AA105" s="213">
        <v>0</v>
      </c>
      <c r="AB105" s="213">
        <v>0</v>
      </c>
      <c r="AC105" s="213">
        <v>0</v>
      </c>
      <c r="AD105" s="214">
        <v>0</v>
      </c>
      <c r="AE105" s="218">
        <v>0</v>
      </c>
      <c r="AF105" s="213">
        <v>0</v>
      </c>
      <c r="AG105" s="213">
        <v>0</v>
      </c>
      <c r="AH105" s="213">
        <v>0</v>
      </c>
      <c r="AI105" s="213">
        <v>0</v>
      </c>
      <c r="AJ105" s="214">
        <v>0</v>
      </c>
      <c r="AK105" s="218">
        <v>0</v>
      </c>
      <c r="AL105" s="213">
        <v>0</v>
      </c>
      <c r="AM105" s="213">
        <v>0</v>
      </c>
      <c r="AN105" s="213">
        <v>0</v>
      </c>
      <c r="AO105" s="213">
        <v>0</v>
      </c>
      <c r="AP105" s="214">
        <v>0</v>
      </c>
      <c r="AQ105" s="215">
        <v>0</v>
      </c>
      <c r="AR105" s="216">
        <v>0</v>
      </c>
      <c r="AS105" s="217">
        <v>0</v>
      </c>
      <c r="AT105" s="228">
        <v>6793</v>
      </c>
      <c r="AU105" s="229">
        <v>5289</v>
      </c>
      <c r="AV105" s="229">
        <v>5973</v>
      </c>
      <c r="AW105" s="230">
        <v>5973</v>
      </c>
      <c r="AX105" s="228">
        <v>6793</v>
      </c>
      <c r="AY105" s="229">
        <v>5289</v>
      </c>
      <c r="AZ105" s="229">
        <v>5973</v>
      </c>
      <c r="BA105" s="230">
        <v>5973</v>
      </c>
      <c r="BB105" s="228">
        <v>0</v>
      </c>
      <c r="BC105" s="229">
        <v>0</v>
      </c>
      <c r="BD105" s="229">
        <v>0</v>
      </c>
      <c r="BE105" s="230">
        <v>0</v>
      </c>
      <c r="BF105" s="215">
        <v>6296</v>
      </c>
      <c r="BG105" s="216">
        <v>6296</v>
      </c>
      <c r="BH105" s="217">
        <v>0</v>
      </c>
      <c r="BI105" s="196">
        <f t="shared" si="1"/>
        <v>0</v>
      </c>
    </row>
    <row r="106" spans="2:61">
      <c r="B106" s="195" t="s">
        <v>329</v>
      </c>
      <c r="C106" s="207">
        <v>1050706</v>
      </c>
      <c r="D106" s="208">
        <v>1050706</v>
      </c>
      <c r="E106" s="209">
        <v>1</v>
      </c>
      <c r="F106" s="209">
        <v>0</v>
      </c>
      <c r="G106" s="215">
        <v>1050706</v>
      </c>
      <c r="H106" s="216">
        <v>1050706</v>
      </c>
      <c r="I106" s="217">
        <v>0</v>
      </c>
      <c r="J106" s="215">
        <v>48428</v>
      </c>
      <c r="K106" s="216">
        <v>48428</v>
      </c>
      <c r="L106" s="216">
        <v>0</v>
      </c>
      <c r="M106" s="215">
        <v>0</v>
      </c>
      <c r="N106" s="216">
        <v>0</v>
      </c>
      <c r="O106" s="216">
        <v>0</v>
      </c>
      <c r="P106" s="215">
        <v>0</v>
      </c>
      <c r="Q106" s="216">
        <v>0</v>
      </c>
      <c r="R106" s="216">
        <v>0</v>
      </c>
      <c r="S106" s="215">
        <v>0</v>
      </c>
      <c r="T106" s="216">
        <v>0</v>
      </c>
      <c r="U106" s="216">
        <v>0</v>
      </c>
      <c r="V106" s="215">
        <v>89280</v>
      </c>
      <c r="W106" s="216">
        <v>89280</v>
      </c>
      <c r="X106" s="216">
        <v>0</v>
      </c>
      <c r="Y106" s="218">
        <v>-10146</v>
      </c>
      <c r="Z106" s="213">
        <v>-10146</v>
      </c>
      <c r="AA106" s="213">
        <v>-10146</v>
      </c>
      <c r="AB106" s="213">
        <v>-10146</v>
      </c>
      <c r="AC106" s="213">
        <v>-10146</v>
      </c>
      <c r="AD106" s="214">
        <v>-38550</v>
      </c>
      <c r="AE106" s="218">
        <v>-10146</v>
      </c>
      <c r="AF106" s="213">
        <v>-10146</v>
      </c>
      <c r="AG106" s="213">
        <v>-10146</v>
      </c>
      <c r="AH106" s="213">
        <v>-10146</v>
      </c>
      <c r="AI106" s="213">
        <v>-10146</v>
      </c>
      <c r="AJ106" s="214">
        <v>-38550</v>
      </c>
      <c r="AK106" s="218">
        <v>0</v>
      </c>
      <c r="AL106" s="213">
        <v>0</v>
      </c>
      <c r="AM106" s="213">
        <v>0</v>
      </c>
      <c r="AN106" s="213">
        <v>0</v>
      </c>
      <c r="AO106" s="213">
        <v>0</v>
      </c>
      <c r="AP106" s="214">
        <v>0</v>
      </c>
      <c r="AQ106" s="215">
        <v>39790</v>
      </c>
      <c r="AR106" s="216">
        <v>39790</v>
      </c>
      <c r="AS106" s="217">
        <v>0</v>
      </c>
      <c r="AT106" s="228">
        <v>1212021</v>
      </c>
      <c r="AU106" s="229">
        <v>918866</v>
      </c>
      <c r="AV106" s="229">
        <v>1050706</v>
      </c>
      <c r="AW106" s="230">
        <v>1050706</v>
      </c>
      <c r="AX106" s="228">
        <v>1212021</v>
      </c>
      <c r="AY106" s="229">
        <v>918866</v>
      </c>
      <c r="AZ106" s="229">
        <v>1050706</v>
      </c>
      <c r="BA106" s="230">
        <v>1050706</v>
      </c>
      <c r="BB106" s="228">
        <v>0</v>
      </c>
      <c r="BC106" s="229">
        <v>0</v>
      </c>
      <c r="BD106" s="229">
        <v>0</v>
      </c>
      <c r="BE106" s="230">
        <v>0</v>
      </c>
      <c r="BF106" s="215">
        <v>1130858</v>
      </c>
      <c r="BG106" s="216">
        <v>1130858</v>
      </c>
      <c r="BH106" s="217">
        <v>0</v>
      </c>
      <c r="BI106" s="196">
        <f t="shared" si="1"/>
        <v>0</v>
      </c>
    </row>
    <row r="107" spans="2:61">
      <c r="B107" s="195" t="s">
        <v>330</v>
      </c>
      <c r="C107" s="207">
        <v>878747</v>
      </c>
      <c r="D107" s="208">
        <v>878747</v>
      </c>
      <c r="E107" s="209">
        <v>1</v>
      </c>
      <c r="F107" s="209">
        <v>0</v>
      </c>
      <c r="G107" s="215">
        <v>878747</v>
      </c>
      <c r="H107" s="216">
        <v>878747</v>
      </c>
      <c r="I107" s="217">
        <v>0</v>
      </c>
      <c r="J107" s="215">
        <v>40789</v>
      </c>
      <c r="K107" s="216">
        <v>40789</v>
      </c>
      <c r="L107" s="216">
        <v>0</v>
      </c>
      <c r="M107" s="215">
        <v>0</v>
      </c>
      <c r="N107" s="216">
        <v>0</v>
      </c>
      <c r="O107" s="216">
        <v>0</v>
      </c>
      <c r="P107" s="215">
        <v>0</v>
      </c>
      <c r="Q107" s="216">
        <v>0</v>
      </c>
      <c r="R107" s="216">
        <v>0</v>
      </c>
      <c r="S107" s="215">
        <v>0</v>
      </c>
      <c r="T107" s="216">
        <v>0</v>
      </c>
      <c r="U107" s="216">
        <v>0</v>
      </c>
      <c r="V107" s="215">
        <v>78751</v>
      </c>
      <c r="W107" s="216">
        <v>78751</v>
      </c>
      <c r="X107" s="216">
        <v>0</v>
      </c>
      <c r="Y107" s="218">
        <v>-8848</v>
      </c>
      <c r="Z107" s="213">
        <v>-8848</v>
      </c>
      <c r="AA107" s="213">
        <v>-8848</v>
      </c>
      <c r="AB107" s="213">
        <v>-8848</v>
      </c>
      <c r="AC107" s="213">
        <v>-8848</v>
      </c>
      <c r="AD107" s="214">
        <v>-34511</v>
      </c>
      <c r="AE107" s="218">
        <v>-8848</v>
      </c>
      <c r="AF107" s="213">
        <v>-8848</v>
      </c>
      <c r="AG107" s="213">
        <v>-8848</v>
      </c>
      <c r="AH107" s="213">
        <v>-8848</v>
      </c>
      <c r="AI107" s="213">
        <v>-8848</v>
      </c>
      <c r="AJ107" s="214">
        <v>-34511</v>
      </c>
      <c r="AK107" s="218">
        <v>0</v>
      </c>
      <c r="AL107" s="213">
        <v>0</v>
      </c>
      <c r="AM107" s="213">
        <v>0</v>
      </c>
      <c r="AN107" s="213">
        <v>0</v>
      </c>
      <c r="AO107" s="213">
        <v>0</v>
      </c>
      <c r="AP107" s="214">
        <v>0</v>
      </c>
      <c r="AQ107" s="215">
        <v>31726</v>
      </c>
      <c r="AR107" s="216">
        <v>31726</v>
      </c>
      <c r="AS107" s="217">
        <v>0</v>
      </c>
      <c r="AT107" s="228">
        <v>1020790</v>
      </c>
      <c r="AU107" s="229">
        <v>763241</v>
      </c>
      <c r="AV107" s="229">
        <v>878747</v>
      </c>
      <c r="AW107" s="230">
        <v>878747</v>
      </c>
      <c r="AX107" s="228">
        <v>1020790</v>
      </c>
      <c r="AY107" s="229">
        <v>763241</v>
      </c>
      <c r="AZ107" s="229">
        <v>878747</v>
      </c>
      <c r="BA107" s="230">
        <v>878747</v>
      </c>
      <c r="BB107" s="228">
        <v>0</v>
      </c>
      <c r="BC107" s="229">
        <v>0</v>
      </c>
      <c r="BD107" s="229">
        <v>0</v>
      </c>
      <c r="BE107" s="230">
        <v>0</v>
      </c>
      <c r="BF107" s="215">
        <v>947159</v>
      </c>
      <c r="BG107" s="216">
        <v>947159</v>
      </c>
      <c r="BH107" s="217">
        <v>0</v>
      </c>
      <c r="BI107" s="196">
        <f t="shared" si="1"/>
        <v>0</v>
      </c>
    </row>
    <row r="108" spans="2:61">
      <c r="B108" s="195" t="s">
        <v>331</v>
      </c>
      <c r="C108" s="207">
        <v>486932</v>
      </c>
      <c r="D108" s="208">
        <v>486932</v>
      </c>
      <c r="E108" s="209">
        <v>1</v>
      </c>
      <c r="F108" s="209">
        <v>0</v>
      </c>
      <c r="G108" s="215">
        <v>486932</v>
      </c>
      <c r="H108" s="216">
        <v>486932</v>
      </c>
      <c r="I108" s="217">
        <v>0</v>
      </c>
      <c r="J108" s="215">
        <v>18873</v>
      </c>
      <c r="K108" s="216">
        <v>18873</v>
      </c>
      <c r="L108" s="216">
        <v>0</v>
      </c>
      <c r="M108" s="215">
        <v>0</v>
      </c>
      <c r="N108" s="216">
        <v>0</v>
      </c>
      <c r="O108" s="216">
        <v>0</v>
      </c>
      <c r="P108" s="215">
        <v>0</v>
      </c>
      <c r="Q108" s="216">
        <v>0</v>
      </c>
      <c r="R108" s="216">
        <v>0</v>
      </c>
      <c r="S108" s="215">
        <v>0</v>
      </c>
      <c r="T108" s="216">
        <v>0</v>
      </c>
      <c r="U108" s="216">
        <v>0</v>
      </c>
      <c r="V108" s="215">
        <v>38762</v>
      </c>
      <c r="W108" s="216">
        <v>38762</v>
      </c>
      <c r="X108" s="216">
        <v>0</v>
      </c>
      <c r="Y108" s="218">
        <v>-5034</v>
      </c>
      <c r="Z108" s="213">
        <v>-5034</v>
      </c>
      <c r="AA108" s="213">
        <v>-5034</v>
      </c>
      <c r="AB108" s="213">
        <v>-5034</v>
      </c>
      <c r="AC108" s="213">
        <v>-5034</v>
      </c>
      <c r="AD108" s="214">
        <v>-13592</v>
      </c>
      <c r="AE108" s="218">
        <v>-5034</v>
      </c>
      <c r="AF108" s="213">
        <v>-5034</v>
      </c>
      <c r="AG108" s="213">
        <v>-5034</v>
      </c>
      <c r="AH108" s="213">
        <v>-5034</v>
      </c>
      <c r="AI108" s="213">
        <v>-5034</v>
      </c>
      <c r="AJ108" s="214">
        <v>-13592</v>
      </c>
      <c r="AK108" s="218">
        <v>0</v>
      </c>
      <c r="AL108" s="213">
        <v>0</v>
      </c>
      <c r="AM108" s="213">
        <v>0</v>
      </c>
      <c r="AN108" s="213">
        <v>0</v>
      </c>
      <c r="AO108" s="213">
        <v>0</v>
      </c>
      <c r="AP108" s="214">
        <v>0</v>
      </c>
      <c r="AQ108" s="215">
        <v>21700</v>
      </c>
      <c r="AR108" s="216">
        <v>21700</v>
      </c>
      <c r="AS108" s="217">
        <v>0</v>
      </c>
      <c r="AT108" s="228">
        <v>557828</v>
      </c>
      <c r="AU108" s="229">
        <v>428931</v>
      </c>
      <c r="AV108" s="229">
        <v>486932</v>
      </c>
      <c r="AW108" s="230">
        <v>486932</v>
      </c>
      <c r="AX108" s="228">
        <v>557828</v>
      </c>
      <c r="AY108" s="229">
        <v>428931</v>
      </c>
      <c r="AZ108" s="229">
        <v>486932</v>
      </c>
      <c r="BA108" s="230">
        <v>486932</v>
      </c>
      <c r="BB108" s="228">
        <v>0</v>
      </c>
      <c r="BC108" s="229">
        <v>0</v>
      </c>
      <c r="BD108" s="229">
        <v>0</v>
      </c>
      <c r="BE108" s="230">
        <v>0</v>
      </c>
      <c r="BF108" s="215">
        <v>528271</v>
      </c>
      <c r="BG108" s="216">
        <v>528271</v>
      </c>
      <c r="BH108" s="217">
        <v>0</v>
      </c>
      <c r="BI108" s="196">
        <f t="shared" si="1"/>
        <v>0</v>
      </c>
    </row>
    <row r="109" spans="2:61">
      <c r="B109" s="195" t="s">
        <v>332</v>
      </c>
      <c r="C109" s="207">
        <v>1127850</v>
      </c>
      <c r="D109" s="208">
        <v>1127850</v>
      </c>
      <c r="E109" s="209">
        <v>1</v>
      </c>
      <c r="F109" s="209">
        <v>0</v>
      </c>
      <c r="G109" s="215">
        <v>1127850</v>
      </c>
      <c r="H109" s="216">
        <v>1127850</v>
      </c>
      <c r="I109" s="217">
        <v>0</v>
      </c>
      <c r="J109" s="215">
        <v>47006</v>
      </c>
      <c r="K109" s="216">
        <v>47006</v>
      </c>
      <c r="L109" s="216">
        <v>0</v>
      </c>
      <c r="M109" s="215">
        <v>0</v>
      </c>
      <c r="N109" s="216">
        <v>0</v>
      </c>
      <c r="O109" s="216">
        <v>0</v>
      </c>
      <c r="P109" s="215">
        <v>0</v>
      </c>
      <c r="Q109" s="216">
        <v>0</v>
      </c>
      <c r="R109" s="216">
        <v>0</v>
      </c>
      <c r="S109" s="215">
        <v>0</v>
      </c>
      <c r="T109" s="216">
        <v>0</v>
      </c>
      <c r="U109" s="216">
        <v>0</v>
      </c>
      <c r="V109" s="215">
        <v>87795</v>
      </c>
      <c r="W109" s="216">
        <v>87795</v>
      </c>
      <c r="X109" s="216">
        <v>0</v>
      </c>
      <c r="Y109" s="218">
        <v>-11706</v>
      </c>
      <c r="Z109" s="213">
        <v>-11706</v>
      </c>
      <c r="AA109" s="213">
        <v>-11706</v>
      </c>
      <c r="AB109" s="213">
        <v>-11706</v>
      </c>
      <c r="AC109" s="213">
        <v>-11706</v>
      </c>
      <c r="AD109" s="214">
        <v>-29265</v>
      </c>
      <c r="AE109" s="218">
        <v>-11706</v>
      </c>
      <c r="AF109" s="213">
        <v>-11706</v>
      </c>
      <c r="AG109" s="213">
        <v>-11706</v>
      </c>
      <c r="AH109" s="213">
        <v>-11706</v>
      </c>
      <c r="AI109" s="213">
        <v>-11706</v>
      </c>
      <c r="AJ109" s="214">
        <v>-29265</v>
      </c>
      <c r="AK109" s="218">
        <v>0</v>
      </c>
      <c r="AL109" s="213">
        <v>0</v>
      </c>
      <c r="AM109" s="213">
        <v>0</v>
      </c>
      <c r="AN109" s="213">
        <v>0</v>
      </c>
      <c r="AO109" s="213">
        <v>0</v>
      </c>
      <c r="AP109" s="214">
        <v>0</v>
      </c>
      <c r="AQ109" s="215">
        <v>48601</v>
      </c>
      <c r="AR109" s="216">
        <v>48601</v>
      </c>
      <c r="AS109" s="217">
        <v>0</v>
      </c>
      <c r="AT109" s="228">
        <v>1288893</v>
      </c>
      <c r="AU109" s="229">
        <v>994985</v>
      </c>
      <c r="AV109" s="229">
        <v>1127850</v>
      </c>
      <c r="AW109" s="230">
        <v>1127850</v>
      </c>
      <c r="AX109" s="228">
        <v>1288893</v>
      </c>
      <c r="AY109" s="229">
        <v>994985</v>
      </c>
      <c r="AZ109" s="229">
        <v>1127850</v>
      </c>
      <c r="BA109" s="230">
        <v>1127850</v>
      </c>
      <c r="BB109" s="228">
        <v>0</v>
      </c>
      <c r="BC109" s="229">
        <v>0</v>
      </c>
      <c r="BD109" s="229">
        <v>0</v>
      </c>
      <c r="BE109" s="230">
        <v>0</v>
      </c>
      <c r="BF109" s="215">
        <v>1216489</v>
      </c>
      <c r="BG109" s="216">
        <v>1216489</v>
      </c>
      <c r="BH109" s="217">
        <v>0</v>
      </c>
      <c r="BI109" s="196">
        <f t="shared" si="1"/>
        <v>0</v>
      </c>
    </row>
    <row r="110" spans="2:61">
      <c r="B110" s="195" t="s">
        <v>333</v>
      </c>
      <c r="C110" s="207">
        <v>1430684</v>
      </c>
      <c r="D110" s="208">
        <v>1430684</v>
      </c>
      <c r="E110" s="209">
        <v>1</v>
      </c>
      <c r="F110" s="209">
        <v>0</v>
      </c>
      <c r="G110" s="215">
        <v>1430684</v>
      </c>
      <c r="H110" s="216">
        <v>1430684</v>
      </c>
      <c r="I110" s="217">
        <v>0</v>
      </c>
      <c r="J110" s="215">
        <v>59557</v>
      </c>
      <c r="K110" s="216">
        <v>59557</v>
      </c>
      <c r="L110" s="216">
        <v>0</v>
      </c>
      <c r="M110" s="215">
        <v>0</v>
      </c>
      <c r="N110" s="216">
        <v>0</v>
      </c>
      <c r="O110" s="216">
        <v>0</v>
      </c>
      <c r="P110" s="215">
        <v>0</v>
      </c>
      <c r="Q110" s="216">
        <v>0</v>
      </c>
      <c r="R110" s="216">
        <v>0</v>
      </c>
      <c r="S110" s="215">
        <v>0</v>
      </c>
      <c r="T110" s="216">
        <v>0</v>
      </c>
      <c r="U110" s="216">
        <v>0</v>
      </c>
      <c r="V110" s="215">
        <v>115415</v>
      </c>
      <c r="W110" s="216">
        <v>115415</v>
      </c>
      <c r="X110" s="216">
        <v>0</v>
      </c>
      <c r="Y110" s="218">
        <v>-14610</v>
      </c>
      <c r="Z110" s="213">
        <v>-14610</v>
      </c>
      <c r="AA110" s="213">
        <v>-14610</v>
      </c>
      <c r="AB110" s="213">
        <v>-14610</v>
      </c>
      <c r="AC110" s="213">
        <v>-14610</v>
      </c>
      <c r="AD110" s="214">
        <v>-42365</v>
      </c>
      <c r="AE110" s="218">
        <v>-14610</v>
      </c>
      <c r="AF110" s="213">
        <v>-14610</v>
      </c>
      <c r="AG110" s="213">
        <v>-14610</v>
      </c>
      <c r="AH110" s="213">
        <v>-14610</v>
      </c>
      <c r="AI110" s="213">
        <v>-14610</v>
      </c>
      <c r="AJ110" s="214">
        <v>-42365</v>
      </c>
      <c r="AK110" s="218">
        <v>0</v>
      </c>
      <c r="AL110" s="213">
        <v>0</v>
      </c>
      <c r="AM110" s="213">
        <v>0</v>
      </c>
      <c r="AN110" s="213">
        <v>0</v>
      </c>
      <c r="AO110" s="213">
        <v>0</v>
      </c>
      <c r="AP110" s="214">
        <v>0</v>
      </c>
      <c r="AQ110" s="215">
        <v>64438</v>
      </c>
      <c r="AR110" s="216">
        <v>64438</v>
      </c>
      <c r="AS110" s="217">
        <v>0</v>
      </c>
      <c r="AT110" s="228">
        <v>1641326</v>
      </c>
      <c r="AU110" s="229">
        <v>1257769</v>
      </c>
      <c r="AV110" s="229">
        <v>1430684</v>
      </c>
      <c r="AW110" s="230">
        <v>1430684</v>
      </c>
      <c r="AX110" s="228">
        <v>1641326</v>
      </c>
      <c r="AY110" s="229">
        <v>1257769</v>
      </c>
      <c r="AZ110" s="229">
        <v>1430684</v>
      </c>
      <c r="BA110" s="230">
        <v>1430684</v>
      </c>
      <c r="BB110" s="228">
        <v>0</v>
      </c>
      <c r="BC110" s="229">
        <v>0</v>
      </c>
      <c r="BD110" s="229">
        <v>0</v>
      </c>
      <c r="BE110" s="230">
        <v>0</v>
      </c>
      <c r="BF110" s="215">
        <v>1548942</v>
      </c>
      <c r="BG110" s="216">
        <v>1548942</v>
      </c>
      <c r="BH110" s="217">
        <v>0</v>
      </c>
      <c r="BI110" s="196">
        <f t="shared" si="1"/>
        <v>0</v>
      </c>
    </row>
    <row r="111" spans="2:61">
      <c r="B111" s="195" t="s">
        <v>334</v>
      </c>
      <c r="C111" s="207">
        <v>41573430</v>
      </c>
      <c r="D111" s="208">
        <v>3986470</v>
      </c>
      <c r="E111" s="209">
        <v>9.5890000000000003E-2</v>
      </c>
      <c r="F111" s="209">
        <v>0.90410999999999997</v>
      </c>
      <c r="G111" s="215">
        <v>41573430</v>
      </c>
      <c r="H111" s="216">
        <v>3986476</v>
      </c>
      <c r="I111" s="217">
        <v>37586954</v>
      </c>
      <c r="J111" s="215">
        <v>4204706</v>
      </c>
      <c r="K111" s="216">
        <v>403189</v>
      </c>
      <c r="L111" s="216">
        <v>3801517</v>
      </c>
      <c r="M111" s="215">
        <v>0</v>
      </c>
      <c r="N111" s="216">
        <v>0</v>
      </c>
      <c r="O111" s="216">
        <v>0</v>
      </c>
      <c r="P111" s="215">
        <v>0</v>
      </c>
      <c r="Q111" s="216">
        <v>0</v>
      </c>
      <c r="R111" s="216">
        <v>0</v>
      </c>
      <c r="S111" s="215">
        <v>0</v>
      </c>
      <c r="T111" s="216">
        <v>0</v>
      </c>
      <c r="U111" s="216">
        <v>0</v>
      </c>
      <c r="V111" s="215">
        <v>4413895</v>
      </c>
      <c r="W111" s="216">
        <v>423248</v>
      </c>
      <c r="X111" s="216">
        <v>3990647</v>
      </c>
      <c r="Y111" s="218">
        <v>-573233</v>
      </c>
      <c r="Z111" s="213">
        <v>-573233</v>
      </c>
      <c r="AA111" s="213">
        <v>-573233</v>
      </c>
      <c r="AB111" s="213">
        <v>-573233</v>
      </c>
      <c r="AC111" s="213">
        <v>-573233</v>
      </c>
      <c r="AD111" s="214">
        <v>-1547730</v>
      </c>
      <c r="AE111" s="218">
        <v>-54967.31237</v>
      </c>
      <c r="AF111" s="213">
        <v>-54967.31237</v>
      </c>
      <c r="AG111" s="213">
        <v>-54967.31237</v>
      </c>
      <c r="AH111" s="213">
        <v>-54967.31237</v>
      </c>
      <c r="AI111" s="213">
        <v>-54967.31237</v>
      </c>
      <c r="AJ111" s="214">
        <v>-148411.8297</v>
      </c>
      <c r="AK111" s="218">
        <v>-518265.68763</v>
      </c>
      <c r="AL111" s="213">
        <v>-518265.68763</v>
      </c>
      <c r="AM111" s="213">
        <v>-518265.68763</v>
      </c>
      <c r="AN111" s="213">
        <v>-518265.68763</v>
      </c>
      <c r="AO111" s="213">
        <v>-518265.68763</v>
      </c>
      <c r="AP111" s="214">
        <v>-1399318.1702999999</v>
      </c>
      <c r="AQ111" s="215">
        <v>480666</v>
      </c>
      <c r="AR111" s="216">
        <v>137811</v>
      </c>
      <c r="AS111" s="217">
        <v>342855</v>
      </c>
      <c r="AT111" s="228">
        <v>49652550</v>
      </c>
      <c r="AU111" s="229">
        <v>34959608</v>
      </c>
      <c r="AV111" s="229">
        <v>33483709</v>
      </c>
      <c r="AW111" s="230">
        <v>52368879</v>
      </c>
      <c r="AX111" s="228">
        <v>4588324</v>
      </c>
      <c r="AY111" s="229">
        <v>3488196</v>
      </c>
      <c r="AZ111" s="229">
        <v>3986478</v>
      </c>
      <c r="BA111" s="230">
        <v>3986478</v>
      </c>
      <c r="BB111" s="228">
        <v>44891366.980499998</v>
      </c>
      <c r="BC111" s="229">
        <v>31607331.18888</v>
      </c>
      <c r="BD111" s="229">
        <v>30272956.143989999</v>
      </c>
      <c r="BE111" s="230">
        <v>47347227.19269</v>
      </c>
      <c r="BF111" s="215">
        <v>42234340</v>
      </c>
      <c r="BG111" s="216">
        <v>4049851</v>
      </c>
      <c r="BH111" s="217">
        <v>38184489</v>
      </c>
      <c r="BI111" s="196">
        <f t="shared" si="1"/>
        <v>-597535</v>
      </c>
    </row>
    <row r="112" spans="2:61">
      <c r="B112" s="195" t="s">
        <v>335</v>
      </c>
      <c r="C112" s="207">
        <v>374521</v>
      </c>
      <c r="D112" s="208">
        <v>374521</v>
      </c>
      <c r="E112" s="209">
        <v>1</v>
      </c>
      <c r="F112" s="209">
        <v>0</v>
      </c>
      <c r="G112" s="215">
        <v>374521</v>
      </c>
      <c r="H112" s="216">
        <v>374521</v>
      </c>
      <c r="I112" s="217">
        <v>0</v>
      </c>
      <c r="J112" s="215">
        <v>15595</v>
      </c>
      <c r="K112" s="216">
        <v>15595</v>
      </c>
      <c r="L112" s="216">
        <v>0</v>
      </c>
      <c r="M112" s="215">
        <v>0</v>
      </c>
      <c r="N112" s="216">
        <v>0</v>
      </c>
      <c r="O112" s="216">
        <v>0</v>
      </c>
      <c r="P112" s="215">
        <v>0</v>
      </c>
      <c r="Q112" s="216">
        <v>0</v>
      </c>
      <c r="R112" s="216">
        <v>0</v>
      </c>
      <c r="S112" s="215">
        <v>0</v>
      </c>
      <c r="T112" s="216">
        <v>0</v>
      </c>
      <c r="U112" s="216">
        <v>0</v>
      </c>
      <c r="V112" s="215">
        <v>28773</v>
      </c>
      <c r="W112" s="216">
        <v>28773</v>
      </c>
      <c r="X112" s="216">
        <v>0</v>
      </c>
      <c r="Y112" s="218">
        <v>-4053</v>
      </c>
      <c r="Z112" s="213">
        <v>-4053</v>
      </c>
      <c r="AA112" s="213">
        <v>-4053</v>
      </c>
      <c r="AB112" s="213">
        <v>-4053</v>
      </c>
      <c r="AC112" s="213">
        <v>-4053</v>
      </c>
      <c r="AD112" s="214">
        <v>-8508</v>
      </c>
      <c r="AE112" s="218">
        <v>-4053</v>
      </c>
      <c r="AF112" s="213">
        <v>-4053</v>
      </c>
      <c r="AG112" s="213">
        <v>-4053</v>
      </c>
      <c r="AH112" s="213">
        <v>-4053</v>
      </c>
      <c r="AI112" s="213">
        <v>-4053</v>
      </c>
      <c r="AJ112" s="214">
        <v>-8508</v>
      </c>
      <c r="AK112" s="218">
        <v>0</v>
      </c>
      <c r="AL112" s="213">
        <v>0</v>
      </c>
      <c r="AM112" s="213">
        <v>0</v>
      </c>
      <c r="AN112" s="213">
        <v>0</v>
      </c>
      <c r="AO112" s="213">
        <v>0</v>
      </c>
      <c r="AP112" s="214">
        <v>0</v>
      </c>
      <c r="AQ112" s="215">
        <v>20273</v>
      </c>
      <c r="AR112" s="216">
        <v>20273</v>
      </c>
      <c r="AS112" s="217">
        <v>0</v>
      </c>
      <c r="AT112" s="228">
        <v>427885</v>
      </c>
      <c r="AU112" s="229">
        <v>330585</v>
      </c>
      <c r="AV112" s="229">
        <v>374521</v>
      </c>
      <c r="AW112" s="230">
        <v>374521</v>
      </c>
      <c r="AX112" s="228">
        <v>427885</v>
      </c>
      <c r="AY112" s="229">
        <v>330585</v>
      </c>
      <c r="AZ112" s="229">
        <v>374521</v>
      </c>
      <c r="BA112" s="230">
        <v>374521</v>
      </c>
      <c r="BB112" s="228">
        <v>0</v>
      </c>
      <c r="BC112" s="229">
        <v>0</v>
      </c>
      <c r="BD112" s="229">
        <v>0</v>
      </c>
      <c r="BE112" s="230">
        <v>0</v>
      </c>
      <c r="BF112" s="215">
        <v>408249</v>
      </c>
      <c r="BG112" s="216">
        <v>408249</v>
      </c>
      <c r="BH112" s="217">
        <v>0</v>
      </c>
      <c r="BI112" s="196">
        <f t="shared" si="1"/>
        <v>0</v>
      </c>
    </row>
    <row r="113" spans="2:61">
      <c r="B113" s="195" t="s">
        <v>336</v>
      </c>
      <c r="C113" s="207">
        <v>1475070</v>
      </c>
      <c r="D113" s="208">
        <v>1475070</v>
      </c>
      <c r="E113" s="209">
        <v>1</v>
      </c>
      <c r="F113" s="209">
        <v>0</v>
      </c>
      <c r="G113" s="215">
        <v>1475070</v>
      </c>
      <c r="H113" s="216">
        <v>1475070</v>
      </c>
      <c r="I113" s="217">
        <v>0</v>
      </c>
      <c r="J113" s="215">
        <v>62274</v>
      </c>
      <c r="K113" s="216">
        <v>62274</v>
      </c>
      <c r="L113" s="216">
        <v>0</v>
      </c>
      <c r="M113" s="215">
        <v>0</v>
      </c>
      <c r="N113" s="216">
        <v>0</v>
      </c>
      <c r="O113" s="216">
        <v>0</v>
      </c>
      <c r="P113" s="215">
        <v>0</v>
      </c>
      <c r="Q113" s="216">
        <v>0</v>
      </c>
      <c r="R113" s="216">
        <v>0</v>
      </c>
      <c r="S113" s="215">
        <v>0</v>
      </c>
      <c r="T113" s="216">
        <v>0</v>
      </c>
      <c r="U113" s="216">
        <v>0</v>
      </c>
      <c r="V113" s="215">
        <v>113932</v>
      </c>
      <c r="W113" s="216">
        <v>113932</v>
      </c>
      <c r="X113" s="216">
        <v>0</v>
      </c>
      <c r="Y113" s="218">
        <v>-14241</v>
      </c>
      <c r="Z113" s="213">
        <v>-14241</v>
      </c>
      <c r="AA113" s="213">
        <v>-14241</v>
      </c>
      <c r="AB113" s="213">
        <v>-14241</v>
      </c>
      <c r="AC113" s="213">
        <v>-14241</v>
      </c>
      <c r="AD113" s="214">
        <v>-42727</v>
      </c>
      <c r="AE113" s="218">
        <v>-14241</v>
      </c>
      <c r="AF113" s="213">
        <v>-14241</v>
      </c>
      <c r="AG113" s="213">
        <v>-14241</v>
      </c>
      <c r="AH113" s="213">
        <v>-14241</v>
      </c>
      <c r="AI113" s="213">
        <v>-14241</v>
      </c>
      <c r="AJ113" s="214">
        <v>-42727</v>
      </c>
      <c r="AK113" s="218">
        <v>0</v>
      </c>
      <c r="AL113" s="213">
        <v>0</v>
      </c>
      <c r="AM113" s="213">
        <v>0</v>
      </c>
      <c r="AN113" s="213">
        <v>0</v>
      </c>
      <c r="AO113" s="213">
        <v>0</v>
      </c>
      <c r="AP113" s="214">
        <v>0</v>
      </c>
      <c r="AQ113" s="215">
        <v>65736</v>
      </c>
      <c r="AR113" s="216">
        <v>65736</v>
      </c>
      <c r="AS113" s="217">
        <v>0</v>
      </c>
      <c r="AT113" s="228">
        <v>1682573</v>
      </c>
      <c r="AU113" s="229">
        <v>1303827</v>
      </c>
      <c r="AV113" s="229">
        <v>1475070</v>
      </c>
      <c r="AW113" s="230">
        <v>1475070</v>
      </c>
      <c r="AX113" s="228">
        <v>1682573</v>
      </c>
      <c r="AY113" s="229">
        <v>1303827</v>
      </c>
      <c r="AZ113" s="229">
        <v>1475070</v>
      </c>
      <c r="BA113" s="230">
        <v>1475070</v>
      </c>
      <c r="BB113" s="228">
        <v>0</v>
      </c>
      <c r="BC113" s="229">
        <v>0</v>
      </c>
      <c r="BD113" s="229">
        <v>0</v>
      </c>
      <c r="BE113" s="230">
        <v>0</v>
      </c>
      <c r="BF113" s="215">
        <v>1591228</v>
      </c>
      <c r="BG113" s="216">
        <v>1591228</v>
      </c>
      <c r="BH113" s="217">
        <v>0</v>
      </c>
      <c r="BI113" s="196">
        <f t="shared" si="1"/>
        <v>0</v>
      </c>
    </row>
    <row r="114" spans="2:61">
      <c r="B114" s="195" t="s">
        <v>337</v>
      </c>
      <c r="C114" s="207">
        <v>15201488</v>
      </c>
      <c r="D114" s="208">
        <v>1575952</v>
      </c>
      <c r="E114" s="209">
        <v>0.103671</v>
      </c>
      <c r="F114" s="209">
        <v>0.89632900000000004</v>
      </c>
      <c r="G114" s="215">
        <v>15201488</v>
      </c>
      <c r="H114" s="216">
        <v>1575953</v>
      </c>
      <c r="I114" s="217">
        <v>13625535</v>
      </c>
      <c r="J114" s="215">
        <v>1635241</v>
      </c>
      <c r="K114" s="216">
        <v>169527</v>
      </c>
      <c r="L114" s="216">
        <v>1465714</v>
      </c>
      <c r="M114" s="215">
        <v>0</v>
      </c>
      <c r="N114" s="216">
        <v>0</v>
      </c>
      <c r="O114" s="216">
        <v>0</v>
      </c>
      <c r="P114" s="215">
        <v>0</v>
      </c>
      <c r="Q114" s="216">
        <v>0</v>
      </c>
      <c r="R114" s="216">
        <v>0</v>
      </c>
      <c r="S114" s="215">
        <v>0</v>
      </c>
      <c r="T114" s="216">
        <v>0</v>
      </c>
      <c r="U114" s="216">
        <v>0</v>
      </c>
      <c r="V114" s="215">
        <v>1617217</v>
      </c>
      <c r="W114" s="216">
        <v>167659</v>
      </c>
      <c r="X114" s="216">
        <v>1449558</v>
      </c>
      <c r="Y114" s="218">
        <v>-204711</v>
      </c>
      <c r="Z114" s="213">
        <v>-204711</v>
      </c>
      <c r="AA114" s="213">
        <v>-204711</v>
      </c>
      <c r="AB114" s="213">
        <v>-204711</v>
      </c>
      <c r="AC114" s="213">
        <v>-204711</v>
      </c>
      <c r="AD114" s="214">
        <v>-593662</v>
      </c>
      <c r="AE114" s="218">
        <v>-21222.594080999999</v>
      </c>
      <c r="AF114" s="213">
        <v>-21222.594080999999</v>
      </c>
      <c r="AG114" s="213">
        <v>-21222.594080999999</v>
      </c>
      <c r="AH114" s="213">
        <v>-21222.594080999999</v>
      </c>
      <c r="AI114" s="213">
        <v>-21222.594080999999</v>
      </c>
      <c r="AJ114" s="214">
        <v>-61545.533201999999</v>
      </c>
      <c r="AK114" s="218">
        <v>-183488.40591900001</v>
      </c>
      <c r="AL114" s="213">
        <v>-183488.40591900001</v>
      </c>
      <c r="AM114" s="213">
        <v>-183488.40591900001</v>
      </c>
      <c r="AN114" s="213">
        <v>-183488.40591900001</v>
      </c>
      <c r="AO114" s="213">
        <v>-183488.40591900001</v>
      </c>
      <c r="AP114" s="214">
        <v>-532116.46679800004</v>
      </c>
      <c r="AQ114" s="215">
        <v>186235</v>
      </c>
      <c r="AR114" s="216">
        <v>54452</v>
      </c>
      <c r="AS114" s="217">
        <v>131783</v>
      </c>
      <c r="AT114" s="228">
        <v>18144734</v>
      </c>
      <c r="AU114" s="229">
        <v>12764054</v>
      </c>
      <c r="AV114" s="229">
        <v>12101151</v>
      </c>
      <c r="AW114" s="230">
        <v>19397808</v>
      </c>
      <c r="AX114" s="228">
        <v>1814594</v>
      </c>
      <c r="AY114" s="229">
        <v>1377091</v>
      </c>
      <c r="AZ114" s="229">
        <v>1575952</v>
      </c>
      <c r="BA114" s="230">
        <v>1575952</v>
      </c>
      <c r="BB114" s="228">
        <v>16263651.281486001</v>
      </c>
      <c r="BC114" s="229">
        <v>11440791.757766001</v>
      </c>
      <c r="BD114" s="229">
        <v>10846612.574679</v>
      </c>
      <c r="BE114" s="230">
        <v>17386817.846832</v>
      </c>
      <c r="BF114" s="215">
        <v>15362164</v>
      </c>
      <c r="BG114" s="216">
        <v>1592611</v>
      </c>
      <c r="BH114" s="217">
        <v>13769553</v>
      </c>
      <c r="BI114" s="196">
        <f t="shared" si="1"/>
        <v>-144018</v>
      </c>
    </row>
    <row r="115" spans="2:61">
      <c r="B115" s="195" t="s">
        <v>338</v>
      </c>
      <c r="C115" s="207">
        <v>365802</v>
      </c>
      <c r="D115" s="208">
        <v>365802</v>
      </c>
      <c r="E115" s="209">
        <v>1</v>
      </c>
      <c r="F115" s="209">
        <v>0</v>
      </c>
      <c r="G115" s="215">
        <v>365802</v>
      </c>
      <c r="H115" s="216">
        <v>365802</v>
      </c>
      <c r="I115" s="217">
        <v>0</v>
      </c>
      <c r="J115" s="215">
        <v>18336</v>
      </c>
      <c r="K115" s="216">
        <v>18336</v>
      </c>
      <c r="L115" s="216">
        <v>0</v>
      </c>
      <c r="M115" s="215">
        <v>0</v>
      </c>
      <c r="N115" s="216">
        <v>0</v>
      </c>
      <c r="O115" s="216">
        <v>0</v>
      </c>
      <c r="P115" s="215">
        <v>0</v>
      </c>
      <c r="Q115" s="216">
        <v>0</v>
      </c>
      <c r="R115" s="216">
        <v>0</v>
      </c>
      <c r="S115" s="215">
        <v>0</v>
      </c>
      <c r="T115" s="216">
        <v>0</v>
      </c>
      <c r="U115" s="216">
        <v>0</v>
      </c>
      <c r="V115" s="215">
        <v>32969</v>
      </c>
      <c r="W115" s="216">
        <v>32969</v>
      </c>
      <c r="X115" s="216">
        <v>0</v>
      </c>
      <c r="Y115" s="218">
        <v>-3545</v>
      </c>
      <c r="Z115" s="213">
        <v>-3545</v>
      </c>
      <c r="AA115" s="213">
        <v>-3545</v>
      </c>
      <c r="AB115" s="213">
        <v>-3545</v>
      </c>
      <c r="AC115" s="213">
        <v>-3545</v>
      </c>
      <c r="AD115" s="214">
        <v>-15244</v>
      </c>
      <c r="AE115" s="218">
        <v>-3545</v>
      </c>
      <c r="AF115" s="213">
        <v>-3545</v>
      </c>
      <c r="AG115" s="213">
        <v>-3545</v>
      </c>
      <c r="AH115" s="213">
        <v>-3545</v>
      </c>
      <c r="AI115" s="213">
        <v>-3545</v>
      </c>
      <c r="AJ115" s="214">
        <v>-15244</v>
      </c>
      <c r="AK115" s="218">
        <v>0</v>
      </c>
      <c r="AL115" s="213">
        <v>0</v>
      </c>
      <c r="AM115" s="213">
        <v>0</v>
      </c>
      <c r="AN115" s="213">
        <v>0</v>
      </c>
      <c r="AO115" s="213">
        <v>0</v>
      </c>
      <c r="AP115" s="214">
        <v>0</v>
      </c>
      <c r="AQ115" s="215">
        <v>13068</v>
      </c>
      <c r="AR115" s="216">
        <v>13068</v>
      </c>
      <c r="AS115" s="217">
        <v>0</v>
      </c>
      <c r="AT115" s="228">
        <v>425139</v>
      </c>
      <c r="AU115" s="229">
        <v>317528</v>
      </c>
      <c r="AV115" s="229">
        <v>365802</v>
      </c>
      <c r="AW115" s="230">
        <v>365802</v>
      </c>
      <c r="AX115" s="228">
        <v>425139</v>
      </c>
      <c r="AY115" s="229">
        <v>317528</v>
      </c>
      <c r="AZ115" s="229">
        <v>365802</v>
      </c>
      <c r="BA115" s="230">
        <v>365802</v>
      </c>
      <c r="BB115" s="228">
        <v>0</v>
      </c>
      <c r="BC115" s="229">
        <v>0</v>
      </c>
      <c r="BD115" s="229">
        <v>0</v>
      </c>
      <c r="BE115" s="230">
        <v>0</v>
      </c>
      <c r="BF115" s="215">
        <v>393335</v>
      </c>
      <c r="BG115" s="216">
        <v>393335</v>
      </c>
      <c r="BH115" s="217">
        <v>0</v>
      </c>
      <c r="BI115" s="196">
        <f t="shared" si="1"/>
        <v>0</v>
      </c>
    </row>
    <row r="116" spans="2:61">
      <c r="B116" s="195" t="s">
        <v>458</v>
      </c>
      <c r="C116" s="207">
        <v>43982</v>
      </c>
      <c r="D116" s="208">
        <v>43982</v>
      </c>
      <c r="E116" s="209">
        <v>1</v>
      </c>
      <c r="F116" s="209">
        <v>0</v>
      </c>
      <c r="G116" s="215">
        <v>43982</v>
      </c>
      <c r="H116" s="216">
        <v>43982</v>
      </c>
      <c r="I116" s="217">
        <v>0</v>
      </c>
      <c r="J116" s="215">
        <v>3796</v>
      </c>
      <c r="K116" s="216">
        <v>3796</v>
      </c>
      <c r="L116" s="216">
        <v>0</v>
      </c>
      <c r="M116" s="215">
        <v>0</v>
      </c>
      <c r="N116" s="216">
        <v>0</v>
      </c>
      <c r="O116" s="216">
        <v>0</v>
      </c>
      <c r="P116" s="215">
        <v>0</v>
      </c>
      <c r="Q116" s="216">
        <v>0</v>
      </c>
      <c r="R116" s="216">
        <v>0</v>
      </c>
      <c r="S116" s="215">
        <v>0</v>
      </c>
      <c r="T116" s="216">
        <v>0</v>
      </c>
      <c r="U116" s="216">
        <v>0</v>
      </c>
      <c r="V116" s="215">
        <v>6377</v>
      </c>
      <c r="W116" s="216">
        <v>6377</v>
      </c>
      <c r="X116" s="216">
        <v>0</v>
      </c>
      <c r="Y116" s="218">
        <v>-417</v>
      </c>
      <c r="Z116" s="213">
        <v>-417</v>
      </c>
      <c r="AA116" s="213">
        <v>-417</v>
      </c>
      <c r="AB116" s="213">
        <v>-417</v>
      </c>
      <c r="AC116" s="213">
        <v>-417</v>
      </c>
      <c r="AD116" s="214">
        <v>-4292</v>
      </c>
      <c r="AE116" s="218">
        <v>-417</v>
      </c>
      <c r="AF116" s="213">
        <v>-417</v>
      </c>
      <c r="AG116" s="213">
        <v>-417</v>
      </c>
      <c r="AH116" s="213">
        <v>-417</v>
      </c>
      <c r="AI116" s="213">
        <v>-417</v>
      </c>
      <c r="AJ116" s="214">
        <v>-4292</v>
      </c>
      <c r="AK116" s="218">
        <v>0</v>
      </c>
      <c r="AL116" s="213">
        <v>0</v>
      </c>
      <c r="AM116" s="213">
        <v>0</v>
      </c>
      <c r="AN116" s="213">
        <v>0</v>
      </c>
      <c r="AO116" s="213">
        <v>0</v>
      </c>
      <c r="AP116" s="214">
        <v>0</v>
      </c>
      <c r="AQ116" s="215">
        <v>0</v>
      </c>
      <c r="AR116" s="216">
        <v>0</v>
      </c>
      <c r="AS116" s="217">
        <v>0</v>
      </c>
      <c r="AT116" s="228">
        <v>55075</v>
      </c>
      <c r="AU116" s="229">
        <v>35549</v>
      </c>
      <c r="AV116" s="229">
        <v>43982</v>
      </c>
      <c r="AW116" s="230">
        <v>43982</v>
      </c>
      <c r="AX116" s="228">
        <v>55075</v>
      </c>
      <c r="AY116" s="229">
        <v>35549</v>
      </c>
      <c r="AZ116" s="229">
        <v>43982</v>
      </c>
      <c r="BA116" s="230">
        <v>43982</v>
      </c>
      <c r="BB116" s="228">
        <v>0</v>
      </c>
      <c r="BC116" s="229">
        <v>0</v>
      </c>
      <c r="BD116" s="229">
        <v>0</v>
      </c>
      <c r="BE116" s="230">
        <v>0</v>
      </c>
      <c r="BF116" s="215">
        <v>46563</v>
      </c>
      <c r="BG116" s="216">
        <v>46563</v>
      </c>
      <c r="BH116" s="217">
        <v>0</v>
      </c>
      <c r="BI116" s="196">
        <f t="shared" si="1"/>
        <v>0</v>
      </c>
    </row>
    <row r="117" spans="2:61">
      <c r="B117" s="195" t="s">
        <v>459</v>
      </c>
      <c r="C117" s="207">
        <v>2327339</v>
      </c>
      <c r="D117" s="208">
        <v>2327339</v>
      </c>
      <c r="E117" s="209">
        <v>1</v>
      </c>
      <c r="F117" s="209">
        <v>0</v>
      </c>
      <c r="G117" s="215">
        <v>2327339</v>
      </c>
      <c r="H117" s="216">
        <v>2327339</v>
      </c>
      <c r="I117" s="217">
        <v>0</v>
      </c>
      <c r="J117" s="215">
        <v>59553</v>
      </c>
      <c r="K117" s="216">
        <v>59553</v>
      </c>
      <c r="L117" s="216">
        <v>0</v>
      </c>
      <c r="M117" s="215">
        <v>0</v>
      </c>
      <c r="N117" s="216">
        <v>0</v>
      </c>
      <c r="O117" s="216">
        <v>0</v>
      </c>
      <c r="P117" s="215">
        <v>0</v>
      </c>
      <c r="Q117" s="216">
        <v>0</v>
      </c>
      <c r="R117" s="216">
        <v>0</v>
      </c>
      <c r="S117" s="215">
        <v>0</v>
      </c>
      <c r="T117" s="216">
        <v>0</v>
      </c>
      <c r="U117" s="216">
        <v>0</v>
      </c>
      <c r="V117" s="215">
        <v>201653</v>
      </c>
      <c r="W117" s="216">
        <v>201653</v>
      </c>
      <c r="X117" s="216">
        <v>0</v>
      </c>
      <c r="Y117" s="218">
        <v>-18332</v>
      </c>
      <c r="Z117" s="213">
        <v>-18332</v>
      </c>
      <c r="AA117" s="213">
        <v>-18332</v>
      </c>
      <c r="AB117" s="213">
        <v>-18332</v>
      </c>
      <c r="AC117" s="213">
        <v>-18332</v>
      </c>
      <c r="AD117" s="214">
        <v>-109993</v>
      </c>
      <c r="AE117" s="218">
        <v>-18332</v>
      </c>
      <c r="AF117" s="213">
        <v>-18332</v>
      </c>
      <c r="AG117" s="213">
        <v>-18332</v>
      </c>
      <c r="AH117" s="213">
        <v>-18332</v>
      </c>
      <c r="AI117" s="213">
        <v>-18332</v>
      </c>
      <c r="AJ117" s="214">
        <v>-109993</v>
      </c>
      <c r="AK117" s="218">
        <v>0</v>
      </c>
      <c r="AL117" s="213">
        <v>0</v>
      </c>
      <c r="AM117" s="213">
        <v>0</v>
      </c>
      <c r="AN117" s="213">
        <v>0</v>
      </c>
      <c r="AO117" s="213">
        <v>0</v>
      </c>
      <c r="AP117" s="214">
        <v>0</v>
      </c>
      <c r="AQ117" s="215">
        <v>22578</v>
      </c>
      <c r="AR117" s="216">
        <v>22578</v>
      </c>
      <c r="AS117" s="217">
        <v>0</v>
      </c>
      <c r="AT117" s="228">
        <v>2684539</v>
      </c>
      <c r="AU117" s="229">
        <v>2035272</v>
      </c>
      <c r="AV117" s="229">
        <v>2327339</v>
      </c>
      <c r="AW117" s="230">
        <v>2327339</v>
      </c>
      <c r="AX117" s="228">
        <v>2684539</v>
      </c>
      <c r="AY117" s="229">
        <v>2035272</v>
      </c>
      <c r="AZ117" s="229">
        <v>2327339</v>
      </c>
      <c r="BA117" s="230">
        <v>2327339</v>
      </c>
      <c r="BB117" s="228">
        <v>0</v>
      </c>
      <c r="BC117" s="229">
        <v>0</v>
      </c>
      <c r="BD117" s="229">
        <v>0</v>
      </c>
      <c r="BE117" s="230">
        <v>0</v>
      </c>
      <c r="BF117" s="215">
        <v>2469439</v>
      </c>
      <c r="BG117" s="216">
        <v>2469439</v>
      </c>
      <c r="BH117" s="217">
        <v>0</v>
      </c>
      <c r="BI117" s="196">
        <f t="shared" si="1"/>
        <v>0</v>
      </c>
    </row>
    <row r="118" spans="2:61">
      <c r="B118" s="195" t="s">
        <v>339</v>
      </c>
      <c r="C118" s="207">
        <v>604475</v>
      </c>
      <c r="D118" s="208">
        <v>604475</v>
      </c>
      <c r="E118" s="209">
        <v>1</v>
      </c>
      <c r="F118" s="209">
        <v>0</v>
      </c>
      <c r="G118" s="215">
        <v>604475</v>
      </c>
      <c r="H118" s="216">
        <v>604475</v>
      </c>
      <c r="I118" s="217">
        <v>0</v>
      </c>
      <c r="J118" s="215">
        <v>24753</v>
      </c>
      <c r="K118" s="216">
        <v>24753</v>
      </c>
      <c r="L118" s="216">
        <v>0</v>
      </c>
      <c r="M118" s="215">
        <v>0</v>
      </c>
      <c r="N118" s="216">
        <v>0</v>
      </c>
      <c r="O118" s="216">
        <v>0</v>
      </c>
      <c r="P118" s="215">
        <v>0</v>
      </c>
      <c r="Q118" s="216">
        <v>0</v>
      </c>
      <c r="R118" s="216">
        <v>0</v>
      </c>
      <c r="S118" s="215">
        <v>0</v>
      </c>
      <c r="T118" s="216">
        <v>0</v>
      </c>
      <c r="U118" s="216">
        <v>0</v>
      </c>
      <c r="V118" s="215">
        <v>48135</v>
      </c>
      <c r="W118" s="216">
        <v>48135</v>
      </c>
      <c r="X118" s="216">
        <v>0</v>
      </c>
      <c r="Y118" s="218">
        <v>-5943</v>
      </c>
      <c r="Z118" s="213">
        <v>-5943</v>
      </c>
      <c r="AA118" s="213">
        <v>-5943</v>
      </c>
      <c r="AB118" s="213">
        <v>-5943</v>
      </c>
      <c r="AC118" s="213">
        <v>-5943</v>
      </c>
      <c r="AD118" s="214">
        <v>-18420</v>
      </c>
      <c r="AE118" s="218">
        <v>-5943</v>
      </c>
      <c r="AF118" s="213">
        <v>-5943</v>
      </c>
      <c r="AG118" s="213">
        <v>-5943</v>
      </c>
      <c r="AH118" s="213">
        <v>-5943</v>
      </c>
      <c r="AI118" s="213">
        <v>-5943</v>
      </c>
      <c r="AJ118" s="214">
        <v>-18420</v>
      </c>
      <c r="AK118" s="218">
        <v>0</v>
      </c>
      <c r="AL118" s="213">
        <v>0</v>
      </c>
      <c r="AM118" s="213">
        <v>0</v>
      </c>
      <c r="AN118" s="213">
        <v>0</v>
      </c>
      <c r="AO118" s="213">
        <v>0</v>
      </c>
      <c r="AP118" s="214">
        <v>0</v>
      </c>
      <c r="AQ118" s="215">
        <v>25172</v>
      </c>
      <c r="AR118" s="216">
        <v>25172</v>
      </c>
      <c r="AS118" s="217">
        <v>0</v>
      </c>
      <c r="AT118" s="228">
        <v>692387</v>
      </c>
      <c r="AU118" s="229">
        <v>532224</v>
      </c>
      <c r="AV118" s="229">
        <v>604475</v>
      </c>
      <c r="AW118" s="230">
        <v>604475</v>
      </c>
      <c r="AX118" s="228">
        <v>692387</v>
      </c>
      <c r="AY118" s="229">
        <v>532224</v>
      </c>
      <c r="AZ118" s="229">
        <v>604475</v>
      </c>
      <c r="BA118" s="230">
        <v>604475</v>
      </c>
      <c r="BB118" s="228">
        <v>0</v>
      </c>
      <c r="BC118" s="229">
        <v>0</v>
      </c>
      <c r="BD118" s="229">
        <v>0</v>
      </c>
      <c r="BE118" s="230">
        <v>0</v>
      </c>
      <c r="BF118" s="215">
        <v>652157</v>
      </c>
      <c r="BG118" s="216">
        <v>652157</v>
      </c>
      <c r="BH118" s="217">
        <v>0</v>
      </c>
      <c r="BI118" s="196">
        <f t="shared" si="1"/>
        <v>0</v>
      </c>
    </row>
    <row r="119" spans="2:61">
      <c r="B119" s="195" t="s">
        <v>460</v>
      </c>
      <c r="C119" s="207">
        <v>204583</v>
      </c>
      <c r="D119" s="208">
        <v>204583</v>
      </c>
      <c r="E119" s="209">
        <v>1</v>
      </c>
      <c r="F119" s="209">
        <v>0</v>
      </c>
      <c r="G119" s="215">
        <v>204583</v>
      </c>
      <c r="H119" s="216">
        <v>204583</v>
      </c>
      <c r="I119" s="217">
        <v>0</v>
      </c>
      <c r="J119" s="215">
        <v>16304</v>
      </c>
      <c r="K119" s="216">
        <v>16304</v>
      </c>
      <c r="L119" s="216">
        <v>0</v>
      </c>
      <c r="M119" s="215">
        <v>0</v>
      </c>
      <c r="N119" s="216">
        <v>0</v>
      </c>
      <c r="O119" s="216">
        <v>0</v>
      </c>
      <c r="P119" s="215">
        <v>0</v>
      </c>
      <c r="Q119" s="216">
        <v>0</v>
      </c>
      <c r="R119" s="216">
        <v>0</v>
      </c>
      <c r="S119" s="215">
        <v>0</v>
      </c>
      <c r="T119" s="216">
        <v>0</v>
      </c>
      <c r="U119" s="216">
        <v>0</v>
      </c>
      <c r="V119" s="215">
        <v>24776</v>
      </c>
      <c r="W119" s="216">
        <v>24776</v>
      </c>
      <c r="X119" s="216">
        <v>0</v>
      </c>
      <c r="Y119" s="218">
        <v>-2315</v>
      </c>
      <c r="Z119" s="213">
        <v>-2315</v>
      </c>
      <c r="AA119" s="213">
        <v>-2315</v>
      </c>
      <c r="AB119" s="213">
        <v>-2315</v>
      </c>
      <c r="AC119" s="213">
        <v>-2315</v>
      </c>
      <c r="AD119" s="214">
        <v>-13201</v>
      </c>
      <c r="AE119" s="218">
        <v>-2315</v>
      </c>
      <c r="AF119" s="213">
        <v>-2315</v>
      </c>
      <c r="AG119" s="213">
        <v>-2315</v>
      </c>
      <c r="AH119" s="213">
        <v>-2315</v>
      </c>
      <c r="AI119" s="213">
        <v>-2315</v>
      </c>
      <c r="AJ119" s="214">
        <v>-13201</v>
      </c>
      <c r="AK119" s="218">
        <v>0</v>
      </c>
      <c r="AL119" s="213">
        <v>0</v>
      </c>
      <c r="AM119" s="213">
        <v>0</v>
      </c>
      <c r="AN119" s="213">
        <v>0</v>
      </c>
      <c r="AO119" s="213">
        <v>0</v>
      </c>
      <c r="AP119" s="214">
        <v>0</v>
      </c>
      <c r="AQ119" s="215">
        <v>139</v>
      </c>
      <c r="AR119" s="216">
        <v>139</v>
      </c>
      <c r="AS119" s="217">
        <v>0</v>
      </c>
      <c r="AT119" s="228">
        <v>248845</v>
      </c>
      <c r="AU119" s="229">
        <v>169245</v>
      </c>
      <c r="AV119" s="229">
        <v>204583</v>
      </c>
      <c r="AW119" s="230">
        <v>204583</v>
      </c>
      <c r="AX119" s="228">
        <v>248845</v>
      </c>
      <c r="AY119" s="229">
        <v>169245</v>
      </c>
      <c r="AZ119" s="229">
        <v>204583</v>
      </c>
      <c r="BA119" s="230">
        <v>204583</v>
      </c>
      <c r="BB119" s="228">
        <v>0</v>
      </c>
      <c r="BC119" s="229">
        <v>0</v>
      </c>
      <c r="BD119" s="229">
        <v>0</v>
      </c>
      <c r="BE119" s="230">
        <v>0</v>
      </c>
      <c r="BF119" s="215">
        <v>213055</v>
      </c>
      <c r="BG119" s="216">
        <v>213055</v>
      </c>
      <c r="BH119" s="217">
        <v>0</v>
      </c>
      <c r="BI119" s="196">
        <f t="shared" si="1"/>
        <v>0</v>
      </c>
    </row>
    <row r="120" spans="2:61">
      <c r="B120" s="195" t="s">
        <v>340</v>
      </c>
      <c r="C120" s="207">
        <v>3155126</v>
      </c>
      <c r="D120" s="208">
        <v>1428857</v>
      </c>
      <c r="E120" s="209">
        <v>0.45286799999999999</v>
      </c>
      <c r="F120" s="209">
        <v>0.54713199999999995</v>
      </c>
      <c r="G120" s="215">
        <v>3155126</v>
      </c>
      <c r="H120" s="216">
        <v>1428856</v>
      </c>
      <c r="I120" s="217">
        <v>1726270</v>
      </c>
      <c r="J120" s="215">
        <v>170569</v>
      </c>
      <c r="K120" s="216">
        <v>77245</v>
      </c>
      <c r="L120" s="216">
        <v>93324</v>
      </c>
      <c r="M120" s="215">
        <v>0</v>
      </c>
      <c r="N120" s="216">
        <v>0</v>
      </c>
      <c r="O120" s="216">
        <v>0</v>
      </c>
      <c r="P120" s="215">
        <v>0</v>
      </c>
      <c r="Q120" s="216">
        <v>0</v>
      </c>
      <c r="R120" s="216">
        <v>0</v>
      </c>
      <c r="S120" s="215">
        <v>0</v>
      </c>
      <c r="T120" s="216">
        <v>0</v>
      </c>
      <c r="U120" s="216">
        <v>0</v>
      </c>
      <c r="V120" s="215">
        <v>275044</v>
      </c>
      <c r="W120" s="216">
        <v>124559</v>
      </c>
      <c r="X120" s="216">
        <v>150485</v>
      </c>
      <c r="Y120" s="218">
        <v>-34380</v>
      </c>
      <c r="Z120" s="213">
        <v>-34380</v>
      </c>
      <c r="AA120" s="213">
        <v>-34380</v>
      </c>
      <c r="AB120" s="213">
        <v>-34380</v>
      </c>
      <c r="AC120" s="213">
        <v>-34380</v>
      </c>
      <c r="AD120" s="214">
        <v>-103144</v>
      </c>
      <c r="AE120" s="218">
        <v>-15569.601839999999</v>
      </c>
      <c r="AF120" s="213">
        <v>-15569.601839999999</v>
      </c>
      <c r="AG120" s="213">
        <v>-15569.601839999999</v>
      </c>
      <c r="AH120" s="213">
        <v>-15569.601839999999</v>
      </c>
      <c r="AI120" s="213">
        <v>-15569.601839999999</v>
      </c>
      <c r="AJ120" s="214">
        <v>-46710.616991999996</v>
      </c>
      <c r="AK120" s="218">
        <v>-18810.398160000001</v>
      </c>
      <c r="AL120" s="213">
        <v>-18810.398160000001</v>
      </c>
      <c r="AM120" s="213">
        <v>-18810.398160000001</v>
      </c>
      <c r="AN120" s="213">
        <v>-18810.398160000001</v>
      </c>
      <c r="AO120" s="213">
        <v>-18810.398160000001</v>
      </c>
      <c r="AP120" s="214">
        <v>-56433.383008000004</v>
      </c>
      <c r="AQ120" s="215">
        <v>101375</v>
      </c>
      <c r="AR120" s="216">
        <v>49654</v>
      </c>
      <c r="AS120" s="217">
        <v>51721</v>
      </c>
      <c r="AT120" s="228">
        <v>3656501</v>
      </c>
      <c r="AU120" s="229">
        <v>2743149</v>
      </c>
      <c r="AV120" s="229">
        <v>3155126</v>
      </c>
      <c r="AW120" s="230">
        <v>3155126</v>
      </c>
      <c r="AX120" s="228">
        <v>1658115</v>
      </c>
      <c r="AY120" s="229">
        <v>1241373</v>
      </c>
      <c r="AZ120" s="229">
        <v>1428857</v>
      </c>
      <c r="BA120" s="230">
        <v>1428857</v>
      </c>
      <c r="BB120" s="228">
        <v>2000588.7051319999</v>
      </c>
      <c r="BC120" s="229">
        <v>1500864.598668</v>
      </c>
      <c r="BD120" s="229">
        <v>1726270.3986319997</v>
      </c>
      <c r="BE120" s="230">
        <v>1726270.3986319997</v>
      </c>
      <c r="BF120" s="215">
        <v>3358901</v>
      </c>
      <c r="BG120" s="216">
        <v>1521139</v>
      </c>
      <c r="BH120" s="217">
        <v>1837762</v>
      </c>
      <c r="BI120" s="196">
        <f t="shared" si="1"/>
        <v>-111492</v>
      </c>
    </row>
    <row r="121" spans="2:61">
      <c r="B121" s="195" t="s">
        <v>461</v>
      </c>
      <c r="C121" s="207">
        <v>2762289</v>
      </c>
      <c r="D121" s="208">
        <v>2762289</v>
      </c>
      <c r="E121" s="209">
        <v>1</v>
      </c>
      <c r="F121" s="209">
        <v>0</v>
      </c>
      <c r="G121" s="215">
        <v>2762289</v>
      </c>
      <c r="H121" s="216">
        <v>2762289</v>
      </c>
      <c r="I121" s="217">
        <v>0</v>
      </c>
      <c r="J121" s="215">
        <v>178795</v>
      </c>
      <c r="K121" s="216">
        <v>178795</v>
      </c>
      <c r="L121" s="216">
        <v>0</v>
      </c>
      <c r="M121" s="215">
        <v>0</v>
      </c>
      <c r="N121" s="216">
        <v>0</v>
      </c>
      <c r="O121" s="216">
        <v>0</v>
      </c>
      <c r="P121" s="215">
        <v>0</v>
      </c>
      <c r="Q121" s="216">
        <v>0</v>
      </c>
      <c r="R121" s="216">
        <v>0</v>
      </c>
      <c r="S121" s="215">
        <v>0</v>
      </c>
      <c r="T121" s="216">
        <v>0</v>
      </c>
      <c r="U121" s="216">
        <v>0</v>
      </c>
      <c r="V121" s="215">
        <v>315690</v>
      </c>
      <c r="W121" s="216">
        <v>315690</v>
      </c>
      <c r="X121" s="216">
        <v>0</v>
      </c>
      <c r="Y121" s="218">
        <v>-29504</v>
      </c>
      <c r="Z121" s="213">
        <v>-29504</v>
      </c>
      <c r="AA121" s="213">
        <v>-29504</v>
      </c>
      <c r="AB121" s="213">
        <v>-29504</v>
      </c>
      <c r="AC121" s="213">
        <v>-29504</v>
      </c>
      <c r="AD121" s="214">
        <v>-168170</v>
      </c>
      <c r="AE121" s="218">
        <v>-29504</v>
      </c>
      <c r="AF121" s="213">
        <v>-29504</v>
      </c>
      <c r="AG121" s="213">
        <v>-29504</v>
      </c>
      <c r="AH121" s="213">
        <v>-29504</v>
      </c>
      <c r="AI121" s="213">
        <v>-29504</v>
      </c>
      <c r="AJ121" s="214">
        <v>-168170</v>
      </c>
      <c r="AK121" s="218">
        <v>0</v>
      </c>
      <c r="AL121" s="213">
        <v>0</v>
      </c>
      <c r="AM121" s="213">
        <v>0</v>
      </c>
      <c r="AN121" s="213">
        <v>0</v>
      </c>
      <c r="AO121" s="213">
        <v>0</v>
      </c>
      <c r="AP121" s="214">
        <v>0</v>
      </c>
      <c r="AQ121" s="215">
        <v>4182</v>
      </c>
      <c r="AR121" s="216">
        <v>4182</v>
      </c>
      <c r="AS121" s="217">
        <v>0</v>
      </c>
      <c r="AT121" s="228">
        <v>3325035</v>
      </c>
      <c r="AU121" s="229">
        <v>2312292</v>
      </c>
      <c r="AV121" s="229">
        <v>2762289</v>
      </c>
      <c r="AW121" s="230">
        <v>2762289</v>
      </c>
      <c r="AX121" s="228">
        <v>3325035</v>
      </c>
      <c r="AY121" s="229">
        <v>2312292</v>
      </c>
      <c r="AZ121" s="229">
        <v>2762289</v>
      </c>
      <c r="BA121" s="230">
        <v>2762289</v>
      </c>
      <c r="BB121" s="228">
        <v>0</v>
      </c>
      <c r="BC121" s="229">
        <v>0</v>
      </c>
      <c r="BD121" s="229">
        <v>0</v>
      </c>
      <c r="BE121" s="230">
        <v>0</v>
      </c>
      <c r="BF121" s="215">
        <v>2899184</v>
      </c>
      <c r="BG121" s="216">
        <v>2899184</v>
      </c>
      <c r="BH121" s="217">
        <v>0</v>
      </c>
      <c r="BI121" s="196">
        <f t="shared" si="1"/>
        <v>0</v>
      </c>
    </row>
    <row r="122" spans="2:61">
      <c r="B122" s="195" t="s">
        <v>341</v>
      </c>
      <c r="C122" s="207">
        <v>297633</v>
      </c>
      <c r="D122" s="208">
        <v>297633</v>
      </c>
      <c r="E122" s="209">
        <v>1</v>
      </c>
      <c r="F122" s="209">
        <v>0</v>
      </c>
      <c r="G122" s="215">
        <v>297633</v>
      </c>
      <c r="H122" s="216">
        <v>297633</v>
      </c>
      <c r="I122" s="217">
        <v>0</v>
      </c>
      <c r="J122" s="215">
        <v>11978</v>
      </c>
      <c r="K122" s="216">
        <v>11978</v>
      </c>
      <c r="L122" s="216">
        <v>0</v>
      </c>
      <c r="M122" s="215">
        <v>0</v>
      </c>
      <c r="N122" s="216">
        <v>0</v>
      </c>
      <c r="O122" s="216">
        <v>0</v>
      </c>
      <c r="P122" s="215">
        <v>0</v>
      </c>
      <c r="Q122" s="216">
        <v>0</v>
      </c>
      <c r="R122" s="216">
        <v>0</v>
      </c>
      <c r="S122" s="215">
        <v>0</v>
      </c>
      <c r="T122" s="216">
        <v>0</v>
      </c>
      <c r="U122" s="216">
        <v>0</v>
      </c>
      <c r="V122" s="215">
        <v>23735</v>
      </c>
      <c r="W122" s="216">
        <v>23735</v>
      </c>
      <c r="X122" s="216">
        <v>0</v>
      </c>
      <c r="Y122" s="218">
        <v>-2967</v>
      </c>
      <c r="Z122" s="213">
        <v>-2967</v>
      </c>
      <c r="AA122" s="213">
        <v>-2967</v>
      </c>
      <c r="AB122" s="213">
        <v>-2967</v>
      </c>
      <c r="AC122" s="213">
        <v>-2967</v>
      </c>
      <c r="AD122" s="214">
        <v>-8900</v>
      </c>
      <c r="AE122" s="218">
        <v>-2967</v>
      </c>
      <c r="AF122" s="213">
        <v>-2967</v>
      </c>
      <c r="AG122" s="213">
        <v>-2967</v>
      </c>
      <c r="AH122" s="213">
        <v>-2967</v>
      </c>
      <c r="AI122" s="213">
        <v>-2967</v>
      </c>
      <c r="AJ122" s="214">
        <v>-8900</v>
      </c>
      <c r="AK122" s="218">
        <v>0</v>
      </c>
      <c r="AL122" s="213">
        <v>0</v>
      </c>
      <c r="AM122" s="213">
        <v>0</v>
      </c>
      <c r="AN122" s="213">
        <v>0</v>
      </c>
      <c r="AO122" s="213">
        <v>0</v>
      </c>
      <c r="AP122" s="214">
        <v>0</v>
      </c>
      <c r="AQ122" s="215">
        <v>14188</v>
      </c>
      <c r="AR122" s="216">
        <v>14188</v>
      </c>
      <c r="AS122" s="217">
        <v>0</v>
      </c>
      <c r="AT122" s="228">
        <v>341091</v>
      </c>
      <c r="AU122" s="229">
        <v>262076</v>
      </c>
      <c r="AV122" s="229">
        <v>297633</v>
      </c>
      <c r="AW122" s="230">
        <v>297633</v>
      </c>
      <c r="AX122" s="228">
        <v>341091</v>
      </c>
      <c r="AY122" s="229">
        <v>262076</v>
      </c>
      <c r="AZ122" s="229">
        <v>297633</v>
      </c>
      <c r="BA122" s="230">
        <v>297633</v>
      </c>
      <c r="BB122" s="228">
        <v>0</v>
      </c>
      <c r="BC122" s="229">
        <v>0</v>
      </c>
      <c r="BD122" s="229">
        <v>0</v>
      </c>
      <c r="BE122" s="230">
        <v>0</v>
      </c>
      <c r="BF122" s="215">
        <v>322740</v>
      </c>
      <c r="BG122" s="216">
        <v>322740</v>
      </c>
      <c r="BH122" s="217">
        <v>0</v>
      </c>
      <c r="BI122" s="196">
        <f t="shared" si="1"/>
        <v>0</v>
      </c>
    </row>
    <row r="123" spans="2:61">
      <c r="B123" s="195" t="s">
        <v>342</v>
      </c>
      <c r="C123" s="207">
        <v>644910</v>
      </c>
      <c r="D123" s="208">
        <v>644910</v>
      </c>
      <c r="E123" s="209">
        <v>1</v>
      </c>
      <c r="F123" s="209">
        <v>0</v>
      </c>
      <c r="G123" s="215">
        <v>644910</v>
      </c>
      <c r="H123" s="216">
        <v>644910</v>
      </c>
      <c r="I123" s="217">
        <v>0</v>
      </c>
      <c r="J123" s="215">
        <v>37082</v>
      </c>
      <c r="K123" s="216">
        <v>37082</v>
      </c>
      <c r="L123" s="216">
        <v>0</v>
      </c>
      <c r="M123" s="215">
        <v>0</v>
      </c>
      <c r="N123" s="216">
        <v>0</v>
      </c>
      <c r="O123" s="216">
        <v>0</v>
      </c>
      <c r="P123" s="215">
        <v>0</v>
      </c>
      <c r="Q123" s="216">
        <v>0</v>
      </c>
      <c r="R123" s="216">
        <v>0</v>
      </c>
      <c r="S123" s="215">
        <v>0</v>
      </c>
      <c r="T123" s="216">
        <v>0</v>
      </c>
      <c r="U123" s="216">
        <v>0</v>
      </c>
      <c r="V123" s="215">
        <v>60207</v>
      </c>
      <c r="W123" s="216">
        <v>60207</v>
      </c>
      <c r="X123" s="216">
        <v>0</v>
      </c>
      <c r="Y123" s="218">
        <v>-6765</v>
      </c>
      <c r="Z123" s="213">
        <v>-6765</v>
      </c>
      <c r="AA123" s="213">
        <v>-6765</v>
      </c>
      <c r="AB123" s="213">
        <v>-6765</v>
      </c>
      <c r="AC123" s="213">
        <v>-6765</v>
      </c>
      <c r="AD123" s="214">
        <v>-26382</v>
      </c>
      <c r="AE123" s="218">
        <v>-6765</v>
      </c>
      <c r="AF123" s="213">
        <v>-6765</v>
      </c>
      <c r="AG123" s="213">
        <v>-6765</v>
      </c>
      <c r="AH123" s="213">
        <v>-6765</v>
      </c>
      <c r="AI123" s="213">
        <v>-6765</v>
      </c>
      <c r="AJ123" s="214">
        <v>-26382</v>
      </c>
      <c r="AK123" s="218">
        <v>0</v>
      </c>
      <c r="AL123" s="213">
        <v>0</v>
      </c>
      <c r="AM123" s="213">
        <v>0</v>
      </c>
      <c r="AN123" s="213">
        <v>0</v>
      </c>
      <c r="AO123" s="213">
        <v>0</v>
      </c>
      <c r="AP123" s="214">
        <v>0</v>
      </c>
      <c r="AQ123" s="215">
        <v>17435</v>
      </c>
      <c r="AR123" s="216">
        <v>17435</v>
      </c>
      <c r="AS123" s="217">
        <v>0</v>
      </c>
      <c r="AT123" s="228">
        <v>753534</v>
      </c>
      <c r="AU123" s="229">
        <v>555832</v>
      </c>
      <c r="AV123" s="229">
        <v>644910</v>
      </c>
      <c r="AW123" s="230">
        <v>644910</v>
      </c>
      <c r="AX123" s="228">
        <v>753534</v>
      </c>
      <c r="AY123" s="229">
        <v>555832</v>
      </c>
      <c r="AZ123" s="229">
        <v>644910</v>
      </c>
      <c r="BA123" s="230">
        <v>644910</v>
      </c>
      <c r="BB123" s="228">
        <v>0</v>
      </c>
      <c r="BC123" s="229">
        <v>0</v>
      </c>
      <c r="BD123" s="229">
        <v>0</v>
      </c>
      <c r="BE123" s="230">
        <v>0</v>
      </c>
      <c r="BF123" s="215">
        <v>684985</v>
      </c>
      <c r="BG123" s="216">
        <v>684985</v>
      </c>
      <c r="BH123" s="217">
        <v>0</v>
      </c>
      <c r="BI123" s="196">
        <f t="shared" si="1"/>
        <v>0</v>
      </c>
    </row>
    <row r="124" spans="2:61">
      <c r="B124" s="195" t="s">
        <v>343</v>
      </c>
      <c r="C124" s="207">
        <v>0</v>
      </c>
      <c r="D124" s="208">
        <v>0</v>
      </c>
      <c r="E124" s="209">
        <v>0</v>
      </c>
      <c r="F124" s="209">
        <v>1</v>
      </c>
      <c r="G124" s="215">
        <v>0</v>
      </c>
      <c r="H124" s="216">
        <v>0</v>
      </c>
      <c r="I124" s="217">
        <v>0</v>
      </c>
      <c r="J124" s="215">
        <v>0</v>
      </c>
      <c r="K124" s="216">
        <v>0</v>
      </c>
      <c r="L124" s="216">
        <v>0</v>
      </c>
      <c r="M124" s="215">
        <v>0</v>
      </c>
      <c r="N124" s="216">
        <v>0</v>
      </c>
      <c r="O124" s="216">
        <v>0</v>
      </c>
      <c r="P124" s="215">
        <v>0</v>
      </c>
      <c r="Q124" s="216">
        <v>0</v>
      </c>
      <c r="R124" s="216">
        <v>0</v>
      </c>
      <c r="S124" s="215">
        <v>0</v>
      </c>
      <c r="T124" s="216">
        <v>0</v>
      </c>
      <c r="U124" s="216">
        <v>0</v>
      </c>
      <c r="V124" s="215">
        <v>0</v>
      </c>
      <c r="W124" s="216">
        <v>0</v>
      </c>
      <c r="X124" s="216">
        <v>0</v>
      </c>
      <c r="Y124" s="218">
        <v>0</v>
      </c>
      <c r="Z124" s="213">
        <v>0</v>
      </c>
      <c r="AA124" s="213">
        <v>0</v>
      </c>
      <c r="AB124" s="213">
        <v>0</v>
      </c>
      <c r="AC124" s="213">
        <v>0</v>
      </c>
      <c r="AD124" s="214">
        <v>0</v>
      </c>
      <c r="AE124" s="218">
        <v>0</v>
      </c>
      <c r="AF124" s="213">
        <v>0</v>
      </c>
      <c r="AG124" s="213">
        <v>0</v>
      </c>
      <c r="AH124" s="213">
        <v>0</v>
      </c>
      <c r="AI124" s="213">
        <v>0</v>
      </c>
      <c r="AJ124" s="214">
        <v>0</v>
      </c>
      <c r="AK124" s="218">
        <v>0</v>
      </c>
      <c r="AL124" s="213">
        <v>0</v>
      </c>
      <c r="AM124" s="213">
        <v>0</v>
      </c>
      <c r="AN124" s="213">
        <v>0</v>
      </c>
      <c r="AO124" s="213">
        <v>0</v>
      </c>
      <c r="AP124" s="214">
        <v>0</v>
      </c>
      <c r="AQ124" s="215">
        <v>0</v>
      </c>
      <c r="AR124" s="216">
        <v>0</v>
      </c>
      <c r="AS124" s="217">
        <v>0</v>
      </c>
      <c r="AT124" s="228">
        <v>0</v>
      </c>
      <c r="AU124" s="229">
        <v>0</v>
      </c>
      <c r="AV124" s="229">
        <v>0</v>
      </c>
      <c r="AW124" s="230">
        <v>0</v>
      </c>
      <c r="AX124" s="228">
        <v>0</v>
      </c>
      <c r="AY124" s="229">
        <v>0</v>
      </c>
      <c r="AZ124" s="229">
        <v>0</v>
      </c>
      <c r="BA124" s="230">
        <v>0</v>
      </c>
      <c r="BB124" s="228">
        <v>0</v>
      </c>
      <c r="BC124" s="229">
        <v>0</v>
      </c>
      <c r="BD124" s="229">
        <v>0</v>
      </c>
      <c r="BE124" s="230">
        <v>0</v>
      </c>
      <c r="BF124" s="215">
        <v>0</v>
      </c>
      <c r="BG124" s="216">
        <v>0</v>
      </c>
      <c r="BH124" s="217">
        <v>0</v>
      </c>
      <c r="BI124" s="196">
        <f t="shared" si="1"/>
        <v>0</v>
      </c>
    </row>
    <row r="125" spans="2:61">
      <c r="B125" s="195" t="s">
        <v>344</v>
      </c>
      <c r="C125" s="207">
        <v>0</v>
      </c>
      <c r="D125" s="208">
        <v>0</v>
      </c>
      <c r="E125" s="209">
        <v>0</v>
      </c>
      <c r="F125" s="209">
        <v>1</v>
      </c>
      <c r="G125" s="215">
        <v>0</v>
      </c>
      <c r="H125" s="216">
        <v>0</v>
      </c>
      <c r="I125" s="217">
        <v>0</v>
      </c>
      <c r="J125" s="215">
        <v>0</v>
      </c>
      <c r="K125" s="216">
        <v>0</v>
      </c>
      <c r="L125" s="216">
        <v>0</v>
      </c>
      <c r="M125" s="215">
        <v>0</v>
      </c>
      <c r="N125" s="216">
        <v>0</v>
      </c>
      <c r="O125" s="216">
        <v>0</v>
      </c>
      <c r="P125" s="215">
        <v>0</v>
      </c>
      <c r="Q125" s="216">
        <v>0</v>
      </c>
      <c r="R125" s="216">
        <v>0</v>
      </c>
      <c r="S125" s="215">
        <v>0</v>
      </c>
      <c r="T125" s="216">
        <v>0</v>
      </c>
      <c r="U125" s="216">
        <v>0</v>
      </c>
      <c r="V125" s="215">
        <v>0</v>
      </c>
      <c r="W125" s="216">
        <v>0</v>
      </c>
      <c r="X125" s="216">
        <v>0</v>
      </c>
      <c r="Y125" s="218">
        <v>0</v>
      </c>
      <c r="Z125" s="213">
        <v>0</v>
      </c>
      <c r="AA125" s="213">
        <v>0</v>
      </c>
      <c r="AB125" s="213">
        <v>0</v>
      </c>
      <c r="AC125" s="213">
        <v>0</v>
      </c>
      <c r="AD125" s="214">
        <v>0</v>
      </c>
      <c r="AE125" s="218">
        <v>0</v>
      </c>
      <c r="AF125" s="213">
        <v>0</v>
      </c>
      <c r="AG125" s="213">
        <v>0</v>
      </c>
      <c r="AH125" s="213">
        <v>0</v>
      </c>
      <c r="AI125" s="213">
        <v>0</v>
      </c>
      <c r="AJ125" s="214">
        <v>0</v>
      </c>
      <c r="AK125" s="218">
        <v>0</v>
      </c>
      <c r="AL125" s="213">
        <v>0</v>
      </c>
      <c r="AM125" s="213">
        <v>0</v>
      </c>
      <c r="AN125" s="213">
        <v>0</v>
      </c>
      <c r="AO125" s="213">
        <v>0</v>
      </c>
      <c r="AP125" s="214">
        <v>0</v>
      </c>
      <c r="AQ125" s="215">
        <v>0</v>
      </c>
      <c r="AR125" s="216">
        <v>0</v>
      </c>
      <c r="AS125" s="217">
        <v>0</v>
      </c>
      <c r="AT125" s="228">
        <v>0</v>
      </c>
      <c r="AU125" s="229">
        <v>0</v>
      </c>
      <c r="AV125" s="229">
        <v>0</v>
      </c>
      <c r="AW125" s="230">
        <v>0</v>
      </c>
      <c r="AX125" s="228">
        <v>0</v>
      </c>
      <c r="AY125" s="229">
        <v>0</v>
      </c>
      <c r="AZ125" s="229">
        <v>0</v>
      </c>
      <c r="BA125" s="230">
        <v>0</v>
      </c>
      <c r="BB125" s="228">
        <v>0</v>
      </c>
      <c r="BC125" s="229">
        <v>0</v>
      </c>
      <c r="BD125" s="229">
        <v>0</v>
      </c>
      <c r="BE125" s="230">
        <v>0</v>
      </c>
      <c r="BF125" s="215">
        <v>0</v>
      </c>
      <c r="BG125" s="216">
        <v>0</v>
      </c>
      <c r="BH125" s="217">
        <v>0</v>
      </c>
      <c r="BI125" s="196">
        <f t="shared" si="1"/>
        <v>0</v>
      </c>
    </row>
    <row r="126" spans="2:61">
      <c r="B126" s="195" t="s">
        <v>345</v>
      </c>
      <c r="C126" s="207">
        <v>0</v>
      </c>
      <c r="D126" s="208">
        <v>0</v>
      </c>
      <c r="E126" s="209">
        <v>0</v>
      </c>
      <c r="F126" s="209">
        <v>1</v>
      </c>
      <c r="G126" s="215">
        <v>0</v>
      </c>
      <c r="H126" s="216">
        <v>0</v>
      </c>
      <c r="I126" s="217">
        <v>0</v>
      </c>
      <c r="J126" s="215">
        <v>0</v>
      </c>
      <c r="K126" s="216">
        <v>0</v>
      </c>
      <c r="L126" s="216">
        <v>0</v>
      </c>
      <c r="M126" s="215">
        <v>0</v>
      </c>
      <c r="N126" s="216">
        <v>0</v>
      </c>
      <c r="O126" s="216">
        <v>0</v>
      </c>
      <c r="P126" s="215">
        <v>0</v>
      </c>
      <c r="Q126" s="216">
        <v>0</v>
      </c>
      <c r="R126" s="216">
        <v>0</v>
      </c>
      <c r="S126" s="215">
        <v>0</v>
      </c>
      <c r="T126" s="216">
        <v>0</v>
      </c>
      <c r="U126" s="216">
        <v>0</v>
      </c>
      <c r="V126" s="215">
        <v>0</v>
      </c>
      <c r="W126" s="216">
        <v>0</v>
      </c>
      <c r="X126" s="216">
        <v>0</v>
      </c>
      <c r="Y126" s="218">
        <v>0</v>
      </c>
      <c r="Z126" s="213">
        <v>0</v>
      </c>
      <c r="AA126" s="213">
        <v>0</v>
      </c>
      <c r="AB126" s="213">
        <v>0</v>
      </c>
      <c r="AC126" s="213">
        <v>0</v>
      </c>
      <c r="AD126" s="214">
        <v>0</v>
      </c>
      <c r="AE126" s="218">
        <v>0</v>
      </c>
      <c r="AF126" s="213">
        <v>0</v>
      </c>
      <c r="AG126" s="213">
        <v>0</v>
      </c>
      <c r="AH126" s="213">
        <v>0</v>
      </c>
      <c r="AI126" s="213">
        <v>0</v>
      </c>
      <c r="AJ126" s="214">
        <v>0</v>
      </c>
      <c r="AK126" s="218">
        <v>0</v>
      </c>
      <c r="AL126" s="213">
        <v>0</v>
      </c>
      <c r="AM126" s="213">
        <v>0</v>
      </c>
      <c r="AN126" s="213">
        <v>0</v>
      </c>
      <c r="AO126" s="213">
        <v>0</v>
      </c>
      <c r="AP126" s="214">
        <v>0</v>
      </c>
      <c r="AQ126" s="215">
        <v>0</v>
      </c>
      <c r="AR126" s="216">
        <v>0</v>
      </c>
      <c r="AS126" s="217">
        <v>0</v>
      </c>
      <c r="AT126" s="228">
        <v>0</v>
      </c>
      <c r="AU126" s="229">
        <v>0</v>
      </c>
      <c r="AV126" s="229">
        <v>0</v>
      </c>
      <c r="AW126" s="230">
        <v>0</v>
      </c>
      <c r="AX126" s="228">
        <v>0</v>
      </c>
      <c r="AY126" s="229">
        <v>0</v>
      </c>
      <c r="AZ126" s="229">
        <v>0</v>
      </c>
      <c r="BA126" s="230">
        <v>0</v>
      </c>
      <c r="BB126" s="228">
        <v>0</v>
      </c>
      <c r="BC126" s="229">
        <v>0</v>
      </c>
      <c r="BD126" s="229">
        <v>0</v>
      </c>
      <c r="BE126" s="230">
        <v>0</v>
      </c>
      <c r="BF126" s="215">
        <v>0</v>
      </c>
      <c r="BG126" s="216">
        <v>0</v>
      </c>
      <c r="BH126" s="217">
        <v>0</v>
      </c>
      <c r="BI126" s="196">
        <f t="shared" si="1"/>
        <v>0</v>
      </c>
    </row>
    <row r="127" spans="2:61">
      <c r="B127" s="195" t="s">
        <v>346</v>
      </c>
      <c r="C127" s="207">
        <v>1886744</v>
      </c>
      <c r="D127" s="208">
        <v>1886744</v>
      </c>
      <c r="E127" s="209">
        <v>1</v>
      </c>
      <c r="F127" s="209">
        <v>0</v>
      </c>
      <c r="G127" s="215">
        <v>1886744</v>
      </c>
      <c r="H127" s="216">
        <v>1886744</v>
      </c>
      <c r="I127" s="217">
        <v>0</v>
      </c>
      <c r="J127" s="215">
        <v>99631</v>
      </c>
      <c r="K127" s="216">
        <v>99631</v>
      </c>
      <c r="L127" s="216">
        <v>0</v>
      </c>
      <c r="M127" s="215">
        <v>0</v>
      </c>
      <c r="N127" s="216">
        <v>0</v>
      </c>
      <c r="O127" s="216">
        <v>0</v>
      </c>
      <c r="P127" s="215">
        <v>0</v>
      </c>
      <c r="Q127" s="216">
        <v>0</v>
      </c>
      <c r="R127" s="216">
        <v>0</v>
      </c>
      <c r="S127" s="215">
        <v>0</v>
      </c>
      <c r="T127" s="216">
        <v>0</v>
      </c>
      <c r="U127" s="216">
        <v>0</v>
      </c>
      <c r="V127" s="215">
        <v>182634</v>
      </c>
      <c r="W127" s="216">
        <v>182634</v>
      </c>
      <c r="X127" s="216">
        <v>0</v>
      </c>
      <c r="Y127" s="218">
        <v>-18263</v>
      </c>
      <c r="Z127" s="213">
        <v>-18263</v>
      </c>
      <c r="AA127" s="213">
        <v>-18263</v>
      </c>
      <c r="AB127" s="213">
        <v>-18263</v>
      </c>
      <c r="AC127" s="213">
        <v>-18263</v>
      </c>
      <c r="AD127" s="214">
        <v>-91319</v>
      </c>
      <c r="AE127" s="218">
        <v>-18263</v>
      </c>
      <c r="AF127" s="213">
        <v>-18263</v>
      </c>
      <c r="AG127" s="213">
        <v>-18263</v>
      </c>
      <c r="AH127" s="213">
        <v>-18263</v>
      </c>
      <c r="AI127" s="213">
        <v>-18263</v>
      </c>
      <c r="AJ127" s="214">
        <v>-91319</v>
      </c>
      <c r="AK127" s="218">
        <v>0</v>
      </c>
      <c r="AL127" s="213">
        <v>0</v>
      </c>
      <c r="AM127" s="213">
        <v>0</v>
      </c>
      <c r="AN127" s="213">
        <v>0</v>
      </c>
      <c r="AO127" s="213">
        <v>0</v>
      </c>
      <c r="AP127" s="214">
        <v>0</v>
      </c>
      <c r="AQ127" s="215">
        <v>54596</v>
      </c>
      <c r="AR127" s="216">
        <v>54596</v>
      </c>
      <c r="AS127" s="217">
        <v>0</v>
      </c>
      <c r="AT127" s="228">
        <v>2213856</v>
      </c>
      <c r="AU127" s="229">
        <v>1622936</v>
      </c>
      <c r="AV127" s="229">
        <v>1886744</v>
      </c>
      <c r="AW127" s="230">
        <v>1886744</v>
      </c>
      <c r="AX127" s="228">
        <v>2213856</v>
      </c>
      <c r="AY127" s="229">
        <v>1622936</v>
      </c>
      <c r="AZ127" s="229">
        <v>1886744</v>
      </c>
      <c r="BA127" s="230">
        <v>1886744</v>
      </c>
      <c r="BB127" s="228">
        <v>0</v>
      </c>
      <c r="BC127" s="229">
        <v>0</v>
      </c>
      <c r="BD127" s="229">
        <v>0</v>
      </c>
      <c r="BE127" s="230">
        <v>0</v>
      </c>
      <c r="BF127" s="215">
        <v>2022547</v>
      </c>
      <c r="BG127" s="216">
        <v>2022547</v>
      </c>
      <c r="BH127" s="217">
        <v>0</v>
      </c>
      <c r="BI127" s="196">
        <f t="shared" si="1"/>
        <v>0</v>
      </c>
    </row>
    <row r="128" spans="2:61">
      <c r="B128" s="195" t="s">
        <v>347</v>
      </c>
      <c r="C128" s="207">
        <v>238026</v>
      </c>
      <c r="D128" s="208">
        <v>238026</v>
      </c>
      <c r="E128" s="209">
        <v>1</v>
      </c>
      <c r="F128" s="209">
        <v>0</v>
      </c>
      <c r="G128" s="215">
        <v>238026</v>
      </c>
      <c r="H128" s="216">
        <v>238026</v>
      </c>
      <c r="I128" s="217">
        <v>0</v>
      </c>
      <c r="J128" s="215">
        <v>10203</v>
      </c>
      <c r="K128" s="216">
        <v>10203</v>
      </c>
      <c r="L128" s="216">
        <v>0</v>
      </c>
      <c r="M128" s="215">
        <v>0</v>
      </c>
      <c r="N128" s="216">
        <v>0</v>
      </c>
      <c r="O128" s="216">
        <v>0</v>
      </c>
      <c r="P128" s="215">
        <v>0</v>
      </c>
      <c r="Q128" s="216">
        <v>0</v>
      </c>
      <c r="R128" s="216">
        <v>0</v>
      </c>
      <c r="S128" s="215">
        <v>0</v>
      </c>
      <c r="T128" s="216">
        <v>0</v>
      </c>
      <c r="U128" s="216">
        <v>0</v>
      </c>
      <c r="V128" s="215">
        <v>20306</v>
      </c>
      <c r="W128" s="216">
        <v>20306</v>
      </c>
      <c r="X128" s="216">
        <v>0</v>
      </c>
      <c r="Y128" s="218">
        <v>-2446</v>
      </c>
      <c r="Z128" s="213">
        <v>-2446</v>
      </c>
      <c r="AA128" s="213">
        <v>-2446</v>
      </c>
      <c r="AB128" s="213">
        <v>-2446</v>
      </c>
      <c r="AC128" s="213">
        <v>-2446</v>
      </c>
      <c r="AD128" s="214">
        <v>-8076</v>
      </c>
      <c r="AE128" s="218">
        <v>-2446</v>
      </c>
      <c r="AF128" s="213">
        <v>-2446</v>
      </c>
      <c r="AG128" s="213">
        <v>-2446</v>
      </c>
      <c r="AH128" s="213">
        <v>-2446</v>
      </c>
      <c r="AI128" s="213">
        <v>-2446</v>
      </c>
      <c r="AJ128" s="214">
        <v>-8076</v>
      </c>
      <c r="AK128" s="218">
        <v>0</v>
      </c>
      <c r="AL128" s="213">
        <v>0</v>
      </c>
      <c r="AM128" s="213">
        <v>0</v>
      </c>
      <c r="AN128" s="213">
        <v>0</v>
      </c>
      <c r="AO128" s="213">
        <v>0</v>
      </c>
      <c r="AP128" s="214">
        <v>0</v>
      </c>
      <c r="AQ128" s="215">
        <v>8207</v>
      </c>
      <c r="AR128" s="216">
        <v>8207</v>
      </c>
      <c r="AS128" s="217">
        <v>0</v>
      </c>
      <c r="AT128" s="228">
        <v>274916</v>
      </c>
      <c r="AU128" s="229">
        <v>207865</v>
      </c>
      <c r="AV128" s="229">
        <v>238026</v>
      </c>
      <c r="AW128" s="230">
        <v>238026</v>
      </c>
      <c r="AX128" s="228">
        <v>274916</v>
      </c>
      <c r="AY128" s="229">
        <v>207865</v>
      </c>
      <c r="AZ128" s="229">
        <v>238026</v>
      </c>
      <c r="BA128" s="230">
        <v>238026</v>
      </c>
      <c r="BB128" s="228">
        <v>0</v>
      </c>
      <c r="BC128" s="229">
        <v>0</v>
      </c>
      <c r="BD128" s="229">
        <v>0</v>
      </c>
      <c r="BE128" s="230">
        <v>0</v>
      </c>
      <c r="BF128" s="215">
        <v>255929</v>
      </c>
      <c r="BG128" s="216">
        <v>255929</v>
      </c>
      <c r="BH128" s="217">
        <v>0</v>
      </c>
      <c r="BI128" s="196">
        <f t="shared" si="1"/>
        <v>0</v>
      </c>
    </row>
    <row r="129" spans="2:61">
      <c r="B129" s="195" t="s">
        <v>348</v>
      </c>
      <c r="C129" s="207">
        <v>1573796</v>
      </c>
      <c r="D129" s="208">
        <v>1573796</v>
      </c>
      <c r="E129" s="209">
        <v>1</v>
      </c>
      <c r="F129" s="209">
        <v>0</v>
      </c>
      <c r="G129" s="215">
        <v>1573796</v>
      </c>
      <c r="H129" s="216">
        <v>1573796</v>
      </c>
      <c r="I129" s="217">
        <v>0</v>
      </c>
      <c r="J129" s="215">
        <v>66698</v>
      </c>
      <c r="K129" s="216">
        <v>66698</v>
      </c>
      <c r="L129" s="216">
        <v>0</v>
      </c>
      <c r="M129" s="215">
        <v>0</v>
      </c>
      <c r="N129" s="216">
        <v>0</v>
      </c>
      <c r="O129" s="216">
        <v>0</v>
      </c>
      <c r="P129" s="215">
        <v>0</v>
      </c>
      <c r="Q129" s="216">
        <v>0</v>
      </c>
      <c r="R129" s="216">
        <v>0</v>
      </c>
      <c r="S129" s="215">
        <v>0</v>
      </c>
      <c r="T129" s="216">
        <v>0</v>
      </c>
      <c r="U129" s="216">
        <v>0</v>
      </c>
      <c r="V129" s="215">
        <v>119020</v>
      </c>
      <c r="W129" s="216">
        <v>119020</v>
      </c>
      <c r="X129" s="216">
        <v>0</v>
      </c>
      <c r="Y129" s="218">
        <v>-17003</v>
      </c>
      <c r="Z129" s="213">
        <v>-17003</v>
      </c>
      <c r="AA129" s="213">
        <v>-17003</v>
      </c>
      <c r="AB129" s="213">
        <v>-17003</v>
      </c>
      <c r="AC129" s="213">
        <v>-17003</v>
      </c>
      <c r="AD129" s="214">
        <v>-34005</v>
      </c>
      <c r="AE129" s="218">
        <v>-17003</v>
      </c>
      <c r="AF129" s="213">
        <v>-17003</v>
      </c>
      <c r="AG129" s="213">
        <v>-17003</v>
      </c>
      <c r="AH129" s="213">
        <v>-17003</v>
      </c>
      <c r="AI129" s="213">
        <v>-17003</v>
      </c>
      <c r="AJ129" s="214">
        <v>-34005</v>
      </c>
      <c r="AK129" s="218">
        <v>0</v>
      </c>
      <c r="AL129" s="213">
        <v>0</v>
      </c>
      <c r="AM129" s="213">
        <v>0</v>
      </c>
      <c r="AN129" s="213">
        <v>0</v>
      </c>
      <c r="AO129" s="213">
        <v>0</v>
      </c>
      <c r="AP129" s="214">
        <v>0</v>
      </c>
      <c r="AQ129" s="215">
        <v>73655</v>
      </c>
      <c r="AR129" s="216">
        <v>73655</v>
      </c>
      <c r="AS129" s="217">
        <v>0</v>
      </c>
      <c r="AT129" s="228">
        <v>1793893</v>
      </c>
      <c r="AU129" s="229">
        <v>1391258</v>
      </c>
      <c r="AV129" s="229">
        <v>1573796</v>
      </c>
      <c r="AW129" s="230">
        <v>1573796</v>
      </c>
      <c r="AX129" s="228">
        <v>1793893</v>
      </c>
      <c r="AY129" s="229">
        <v>1391258</v>
      </c>
      <c r="AZ129" s="229">
        <v>1573796</v>
      </c>
      <c r="BA129" s="230">
        <v>1573796</v>
      </c>
      <c r="BB129" s="228">
        <v>0</v>
      </c>
      <c r="BC129" s="229">
        <v>0</v>
      </c>
      <c r="BD129" s="229">
        <v>0</v>
      </c>
      <c r="BE129" s="230">
        <v>0</v>
      </c>
      <c r="BF129" s="215">
        <v>1698868</v>
      </c>
      <c r="BG129" s="216">
        <v>1698868</v>
      </c>
      <c r="BH129" s="217">
        <v>0</v>
      </c>
      <c r="BI129" s="196">
        <f t="shared" si="1"/>
        <v>0</v>
      </c>
    </row>
    <row r="130" spans="2:61">
      <c r="B130" s="195" t="s">
        <v>349</v>
      </c>
      <c r="C130" s="207">
        <v>1192260</v>
      </c>
      <c r="D130" s="208">
        <v>1192260</v>
      </c>
      <c r="E130" s="209">
        <v>1</v>
      </c>
      <c r="F130" s="209">
        <v>0</v>
      </c>
      <c r="G130" s="215">
        <v>1192260</v>
      </c>
      <c r="H130" s="216">
        <v>1192260</v>
      </c>
      <c r="I130" s="217">
        <v>0</v>
      </c>
      <c r="J130" s="215">
        <v>49097</v>
      </c>
      <c r="K130" s="216">
        <v>49097</v>
      </c>
      <c r="L130" s="216">
        <v>0</v>
      </c>
      <c r="M130" s="215">
        <v>0</v>
      </c>
      <c r="N130" s="216">
        <v>0</v>
      </c>
      <c r="O130" s="216">
        <v>0</v>
      </c>
      <c r="P130" s="215">
        <v>0</v>
      </c>
      <c r="Q130" s="216">
        <v>0</v>
      </c>
      <c r="R130" s="216">
        <v>0</v>
      </c>
      <c r="S130" s="215">
        <v>0</v>
      </c>
      <c r="T130" s="216">
        <v>0</v>
      </c>
      <c r="U130" s="216">
        <v>0</v>
      </c>
      <c r="V130" s="215">
        <v>89228</v>
      </c>
      <c r="W130" s="216">
        <v>89228</v>
      </c>
      <c r="X130" s="216">
        <v>0</v>
      </c>
      <c r="Y130" s="218">
        <v>-12223</v>
      </c>
      <c r="Z130" s="213">
        <v>-12223</v>
      </c>
      <c r="AA130" s="213">
        <v>-12223</v>
      </c>
      <c r="AB130" s="213">
        <v>-12223</v>
      </c>
      <c r="AC130" s="213">
        <v>-12223</v>
      </c>
      <c r="AD130" s="214">
        <v>-28113</v>
      </c>
      <c r="AE130" s="218">
        <v>-12223</v>
      </c>
      <c r="AF130" s="213">
        <v>-12223</v>
      </c>
      <c r="AG130" s="213">
        <v>-12223</v>
      </c>
      <c r="AH130" s="213">
        <v>-12223</v>
      </c>
      <c r="AI130" s="213">
        <v>-12223</v>
      </c>
      <c r="AJ130" s="214">
        <v>-28113</v>
      </c>
      <c r="AK130" s="218">
        <v>0</v>
      </c>
      <c r="AL130" s="213">
        <v>0</v>
      </c>
      <c r="AM130" s="213">
        <v>0</v>
      </c>
      <c r="AN130" s="213">
        <v>0</v>
      </c>
      <c r="AO130" s="213">
        <v>0</v>
      </c>
      <c r="AP130" s="214">
        <v>0</v>
      </c>
      <c r="AQ130" s="215">
        <v>55078</v>
      </c>
      <c r="AR130" s="216">
        <v>55078</v>
      </c>
      <c r="AS130" s="217">
        <v>0</v>
      </c>
      <c r="AT130" s="228">
        <v>1356175</v>
      </c>
      <c r="AU130" s="229">
        <v>1056227</v>
      </c>
      <c r="AV130" s="229">
        <v>1192260</v>
      </c>
      <c r="AW130" s="230">
        <v>1192260</v>
      </c>
      <c r="AX130" s="228">
        <v>1356175</v>
      </c>
      <c r="AY130" s="229">
        <v>1056227</v>
      </c>
      <c r="AZ130" s="229">
        <v>1192260</v>
      </c>
      <c r="BA130" s="230">
        <v>1192260</v>
      </c>
      <c r="BB130" s="228">
        <v>0</v>
      </c>
      <c r="BC130" s="229">
        <v>0</v>
      </c>
      <c r="BD130" s="229">
        <v>0</v>
      </c>
      <c r="BE130" s="230">
        <v>0</v>
      </c>
      <c r="BF130" s="215">
        <v>1285941</v>
      </c>
      <c r="BG130" s="216">
        <v>1285941</v>
      </c>
      <c r="BH130" s="217">
        <v>0</v>
      </c>
      <c r="BI130" s="196">
        <f t="shared" si="1"/>
        <v>0</v>
      </c>
    </row>
    <row r="131" spans="2:61">
      <c r="B131" s="195" t="s">
        <v>350</v>
      </c>
      <c r="C131" s="207">
        <v>1362048</v>
      </c>
      <c r="D131" s="208">
        <v>1362048</v>
      </c>
      <c r="E131" s="209">
        <v>1</v>
      </c>
      <c r="F131" s="209">
        <v>0</v>
      </c>
      <c r="G131" s="215">
        <v>1362048</v>
      </c>
      <c r="H131" s="216">
        <v>1362048</v>
      </c>
      <c r="I131" s="217">
        <v>0</v>
      </c>
      <c r="J131" s="215">
        <v>66999</v>
      </c>
      <c r="K131" s="216">
        <v>66999</v>
      </c>
      <c r="L131" s="216">
        <v>0</v>
      </c>
      <c r="M131" s="215">
        <v>0</v>
      </c>
      <c r="N131" s="216">
        <v>0</v>
      </c>
      <c r="O131" s="216">
        <v>0</v>
      </c>
      <c r="P131" s="215">
        <v>0</v>
      </c>
      <c r="Q131" s="216">
        <v>0</v>
      </c>
      <c r="R131" s="216">
        <v>0</v>
      </c>
      <c r="S131" s="215">
        <v>0</v>
      </c>
      <c r="T131" s="216">
        <v>0</v>
      </c>
      <c r="U131" s="216">
        <v>0</v>
      </c>
      <c r="V131" s="215">
        <v>134440</v>
      </c>
      <c r="W131" s="216">
        <v>134440</v>
      </c>
      <c r="X131" s="216">
        <v>0</v>
      </c>
      <c r="Y131" s="218">
        <v>-14774</v>
      </c>
      <c r="Z131" s="213">
        <v>-14774</v>
      </c>
      <c r="AA131" s="213">
        <v>-14774</v>
      </c>
      <c r="AB131" s="213">
        <v>-14774</v>
      </c>
      <c r="AC131" s="213">
        <v>-14774</v>
      </c>
      <c r="AD131" s="214">
        <v>-60570</v>
      </c>
      <c r="AE131" s="218">
        <v>-14774</v>
      </c>
      <c r="AF131" s="213">
        <v>-14774</v>
      </c>
      <c r="AG131" s="213">
        <v>-14774</v>
      </c>
      <c r="AH131" s="213">
        <v>-14774</v>
      </c>
      <c r="AI131" s="213">
        <v>-14774</v>
      </c>
      <c r="AJ131" s="214">
        <v>-60570</v>
      </c>
      <c r="AK131" s="218">
        <v>0</v>
      </c>
      <c r="AL131" s="213">
        <v>0</v>
      </c>
      <c r="AM131" s="213">
        <v>0</v>
      </c>
      <c r="AN131" s="213">
        <v>0</v>
      </c>
      <c r="AO131" s="213">
        <v>0</v>
      </c>
      <c r="AP131" s="214">
        <v>0</v>
      </c>
      <c r="AQ131" s="215">
        <v>21295</v>
      </c>
      <c r="AR131" s="216">
        <v>21295</v>
      </c>
      <c r="AS131" s="217">
        <v>0</v>
      </c>
      <c r="AT131" s="228">
        <v>1604682</v>
      </c>
      <c r="AU131" s="229">
        <v>1165796</v>
      </c>
      <c r="AV131" s="229">
        <v>1362048</v>
      </c>
      <c r="AW131" s="230">
        <v>1362048</v>
      </c>
      <c r="AX131" s="228">
        <v>1604682</v>
      </c>
      <c r="AY131" s="229">
        <v>1165796</v>
      </c>
      <c r="AZ131" s="229">
        <v>1362048</v>
      </c>
      <c r="BA131" s="230">
        <v>1362048</v>
      </c>
      <c r="BB131" s="228">
        <v>0</v>
      </c>
      <c r="BC131" s="229">
        <v>0</v>
      </c>
      <c r="BD131" s="229">
        <v>0</v>
      </c>
      <c r="BE131" s="230">
        <v>0</v>
      </c>
      <c r="BF131" s="215">
        <v>1449739</v>
      </c>
      <c r="BG131" s="216">
        <v>1449739</v>
      </c>
      <c r="BH131" s="217">
        <v>0</v>
      </c>
      <c r="BI131" s="196">
        <f t="shared" si="1"/>
        <v>0</v>
      </c>
    </row>
    <row r="132" spans="2:61">
      <c r="B132" s="195" t="s">
        <v>351</v>
      </c>
      <c r="C132" s="207">
        <v>2710947</v>
      </c>
      <c r="D132" s="208">
        <v>1257257</v>
      </c>
      <c r="E132" s="209">
        <v>0.46377000000000002</v>
      </c>
      <c r="F132" s="209">
        <v>0.53622999999999998</v>
      </c>
      <c r="G132" s="215">
        <v>2710947</v>
      </c>
      <c r="H132" s="216">
        <v>1257256</v>
      </c>
      <c r="I132" s="217">
        <v>1453691</v>
      </c>
      <c r="J132" s="215">
        <v>123253</v>
      </c>
      <c r="K132" s="216">
        <v>57161</v>
      </c>
      <c r="L132" s="216">
        <v>66092</v>
      </c>
      <c r="M132" s="215">
        <v>0</v>
      </c>
      <c r="N132" s="216">
        <v>0</v>
      </c>
      <c r="O132" s="216">
        <v>0</v>
      </c>
      <c r="P132" s="215">
        <v>0</v>
      </c>
      <c r="Q132" s="216">
        <v>0</v>
      </c>
      <c r="R132" s="216">
        <v>0</v>
      </c>
      <c r="S132" s="215">
        <v>0</v>
      </c>
      <c r="T132" s="216">
        <v>0</v>
      </c>
      <c r="U132" s="216">
        <v>0</v>
      </c>
      <c r="V132" s="215">
        <v>220755</v>
      </c>
      <c r="W132" s="216">
        <v>102380</v>
      </c>
      <c r="X132" s="216">
        <v>118375</v>
      </c>
      <c r="Y132" s="218">
        <v>-29832</v>
      </c>
      <c r="Z132" s="213">
        <v>-29832</v>
      </c>
      <c r="AA132" s="213">
        <v>-29832</v>
      </c>
      <c r="AB132" s="213">
        <v>-29832</v>
      </c>
      <c r="AC132" s="213">
        <v>-29832</v>
      </c>
      <c r="AD132" s="214">
        <v>-71595</v>
      </c>
      <c r="AE132" s="218">
        <v>-13835.18664</v>
      </c>
      <c r="AF132" s="213">
        <v>-13835.18664</v>
      </c>
      <c r="AG132" s="213">
        <v>-13835.18664</v>
      </c>
      <c r="AH132" s="213">
        <v>-13835.18664</v>
      </c>
      <c r="AI132" s="213">
        <v>-13835.18664</v>
      </c>
      <c r="AJ132" s="214">
        <v>-33203.613150000005</v>
      </c>
      <c r="AK132" s="218">
        <v>-15996.81336</v>
      </c>
      <c r="AL132" s="213">
        <v>-15996.81336</v>
      </c>
      <c r="AM132" s="213">
        <v>-15996.81336</v>
      </c>
      <c r="AN132" s="213">
        <v>-15996.81336</v>
      </c>
      <c r="AO132" s="213">
        <v>-15996.81336</v>
      </c>
      <c r="AP132" s="214">
        <v>-38391.386849999995</v>
      </c>
      <c r="AQ132" s="215">
        <v>105548</v>
      </c>
      <c r="AR132" s="216">
        <v>52193</v>
      </c>
      <c r="AS132" s="217">
        <v>53355</v>
      </c>
      <c r="AT132" s="228">
        <v>3117001</v>
      </c>
      <c r="AU132" s="229">
        <v>2376827</v>
      </c>
      <c r="AV132" s="229">
        <v>2710947</v>
      </c>
      <c r="AW132" s="230">
        <v>2710947</v>
      </c>
      <c r="AX132" s="228">
        <v>1446538</v>
      </c>
      <c r="AY132" s="229">
        <v>1101919</v>
      </c>
      <c r="AZ132" s="229">
        <v>1257257</v>
      </c>
      <c r="BA132" s="230">
        <v>1257257</v>
      </c>
      <c r="BB132" s="228">
        <v>1671429.4462299999</v>
      </c>
      <c r="BC132" s="229">
        <v>1274525.94221</v>
      </c>
      <c r="BD132" s="229">
        <v>1453691.1098100001</v>
      </c>
      <c r="BE132" s="230">
        <v>1453691.1098100001</v>
      </c>
      <c r="BF132" s="215">
        <v>2912249</v>
      </c>
      <c r="BG132" s="216">
        <v>1350614</v>
      </c>
      <c r="BH132" s="217">
        <v>1561635</v>
      </c>
      <c r="BI132" s="196">
        <f t="shared" si="1"/>
        <v>-107944</v>
      </c>
    </row>
    <row r="133" spans="2:61">
      <c r="B133" s="195" t="s">
        <v>352</v>
      </c>
      <c r="C133" s="207">
        <v>380615</v>
      </c>
      <c r="D133" s="208">
        <v>380615</v>
      </c>
      <c r="E133" s="209">
        <v>1</v>
      </c>
      <c r="F133" s="209">
        <v>0</v>
      </c>
      <c r="G133" s="215">
        <v>380615</v>
      </c>
      <c r="H133" s="216">
        <v>380615</v>
      </c>
      <c r="I133" s="217">
        <v>0</v>
      </c>
      <c r="J133" s="215">
        <v>17204</v>
      </c>
      <c r="K133" s="216">
        <v>17204</v>
      </c>
      <c r="L133" s="216">
        <v>0</v>
      </c>
      <c r="M133" s="215">
        <v>0</v>
      </c>
      <c r="N133" s="216">
        <v>0</v>
      </c>
      <c r="O133" s="216">
        <v>0</v>
      </c>
      <c r="P133" s="215">
        <v>0</v>
      </c>
      <c r="Q133" s="216">
        <v>0</v>
      </c>
      <c r="R133" s="216">
        <v>0</v>
      </c>
      <c r="S133" s="215">
        <v>0</v>
      </c>
      <c r="T133" s="216">
        <v>0</v>
      </c>
      <c r="U133" s="216">
        <v>0</v>
      </c>
      <c r="V133" s="215">
        <v>31826</v>
      </c>
      <c r="W133" s="216">
        <v>31826</v>
      </c>
      <c r="X133" s="216">
        <v>0</v>
      </c>
      <c r="Y133" s="218">
        <v>-3658</v>
      </c>
      <c r="Z133" s="213">
        <v>-3658</v>
      </c>
      <c r="AA133" s="213">
        <v>-3658</v>
      </c>
      <c r="AB133" s="213">
        <v>-3658</v>
      </c>
      <c r="AC133" s="213">
        <v>-3658</v>
      </c>
      <c r="AD133" s="214">
        <v>-13536</v>
      </c>
      <c r="AE133" s="218">
        <v>-3658</v>
      </c>
      <c r="AF133" s="213">
        <v>-3658</v>
      </c>
      <c r="AG133" s="213">
        <v>-3658</v>
      </c>
      <c r="AH133" s="213">
        <v>-3658</v>
      </c>
      <c r="AI133" s="213">
        <v>-3658</v>
      </c>
      <c r="AJ133" s="214">
        <v>-13536</v>
      </c>
      <c r="AK133" s="218">
        <v>0</v>
      </c>
      <c r="AL133" s="213">
        <v>0</v>
      </c>
      <c r="AM133" s="213">
        <v>0</v>
      </c>
      <c r="AN133" s="213">
        <v>0</v>
      </c>
      <c r="AO133" s="213">
        <v>0</v>
      </c>
      <c r="AP133" s="214">
        <v>0</v>
      </c>
      <c r="AQ133" s="215">
        <v>15818</v>
      </c>
      <c r="AR133" s="216">
        <v>15818</v>
      </c>
      <c r="AS133" s="217">
        <v>0</v>
      </c>
      <c r="AT133" s="228">
        <v>438247</v>
      </c>
      <c r="AU133" s="229">
        <v>333460</v>
      </c>
      <c r="AV133" s="229">
        <v>380615</v>
      </c>
      <c r="AW133" s="230">
        <v>380615</v>
      </c>
      <c r="AX133" s="228">
        <v>438247</v>
      </c>
      <c r="AY133" s="229">
        <v>333460</v>
      </c>
      <c r="AZ133" s="229">
        <v>380615</v>
      </c>
      <c r="BA133" s="230">
        <v>380615</v>
      </c>
      <c r="BB133" s="228">
        <v>0</v>
      </c>
      <c r="BC133" s="229">
        <v>0</v>
      </c>
      <c r="BD133" s="229">
        <v>0</v>
      </c>
      <c r="BE133" s="230">
        <v>0</v>
      </c>
      <c r="BF133" s="215">
        <v>410387</v>
      </c>
      <c r="BG133" s="216">
        <v>410387</v>
      </c>
      <c r="BH133" s="217">
        <v>0</v>
      </c>
      <c r="BI133" s="196">
        <f t="shared" si="1"/>
        <v>0</v>
      </c>
    </row>
    <row r="134" spans="2:61">
      <c r="B134" s="195" t="s">
        <v>353</v>
      </c>
      <c r="C134" s="207">
        <v>317809</v>
      </c>
      <c r="D134" s="208">
        <v>317809</v>
      </c>
      <c r="E134" s="209">
        <v>1</v>
      </c>
      <c r="F134" s="209">
        <v>0</v>
      </c>
      <c r="G134" s="215">
        <v>317809</v>
      </c>
      <c r="H134" s="216">
        <v>317809</v>
      </c>
      <c r="I134" s="217">
        <v>0</v>
      </c>
      <c r="J134" s="215">
        <v>14947</v>
      </c>
      <c r="K134" s="216">
        <v>14947</v>
      </c>
      <c r="L134" s="216">
        <v>0</v>
      </c>
      <c r="M134" s="215">
        <v>0</v>
      </c>
      <c r="N134" s="216">
        <v>0</v>
      </c>
      <c r="O134" s="216">
        <v>0</v>
      </c>
      <c r="P134" s="215">
        <v>0</v>
      </c>
      <c r="Q134" s="216">
        <v>0</v>
      </c>
      <c r="R134" s="216">
        <v>0</v>
      </c>
      <c r="S134" s="215">
        <v>0</v>
      </c>
      <c r="T134" s="216">
        <v>0</v>
      </c>
      <c r="U134" s="216">
        <v>0</v>
      </c>
      <c r="V134" s="215">
        <v>28298</v>
      </c>
      <c r="W134" s="216">
        <v>28298</v>
      </c>
      <c r="X134" s="216">
        <v>0</v>
      </c>
      <c r="Y134" s="218">
        <v>-3253</v>
      </c>
      <c r="Z134" s="213">
        <v>-3253</v>
      </c>
      <c r="AA134" s="213">
        <v>-3253</v>
      </c>
      <c r="AB134" s="213">
        <v>-3253</v>
      </c>
      <c r="AC134" s="213">
        <v>-3253</v>
      </c>
      <c r="AD134" s="214">
        <v>-12033</v>
      </c>
      <c r="AE134" s="218">
        <v>-3253</v>
      </c>
      <c r="AF134" s="213">
        <v>-3253</v>
      </c>
      <c r="AG134" s="213">
        <v>-3253</v>
      </c>
      <c r="AH134" s="213">
        <v>-3253</v>
      </c>
      <c r="AI134" s="213">
        <v>-3253</v>
      </c>
      <c r="AJ134" s="214">
        <v>-12033</v>
      </c>
      <c r="AK134" s="218">
        <v>0</v>
      </c>
      <c r="AL134" s="213">
        <v>0</v>
      </c>
      <c r="AM134" s="213">
        <v>0</v>
      </c>
      <c r="AN134" s="213">
        <v>0</v>
      </c>
      <c r="AO134" s="213">
        <v>0</v>
      </c>
      <c r="AP134" s="214">
        <v>0</v>
      </c>
      <c r="AQ134" s="215">
        <v>10315</v>
      </c>
      <c r="AR134" s="216">
        <v>10315</v>
      </c>
      <c r="AS134" s="217">
        <v>0</v>
      </c>
      <c r="AT134" s="228">
        <v>368962</v>
      </c>
      <c r="AU134" s="229">
        <v>276026</v>
      </c>
      <c r="AV134" s="229">
        <v>317809</v>
      </c>
      <c r="AW134" s="230">
        <v>317809</v>
      </c>
      <c r="AX134" s="228">
        <v>368962</v>
      </c>
      <c r="AY134" s="229">
        <v>276026</v>
      </c>
      <c r="AZ134" s="229">
        <v>317809</v>
      </c>
      <c r="BA134" s="230">
        <v>317809</v>
      </c>
      <c r="BB134" s="228">
        <v>0</v>
      </c>
      <c r="BC134" s="229">
        <v>0</v>
      </c>
      <c r="BD134" s="229">
        <v>0</v>
      </c>
      <c r="BE134" s="230">
        <v>0</v>
      </c>
      <c r="BF134" s="215">
        <v>341360</v>
      </c>
      <c r="BG134" s="216">
        <v>341360</v>
      </c>
      <c r="BH134" s="217">
        <v>0</v>
      </c>
      <c r="BI134" s="196">
        <f t="shared" ref="BI134:BI177" si="2">I134-BH134</f>
        <v>0</v>
      </c>
    </row>
    <row r="135" spans="2:61">
      <c r="B135" s="195" t="s">
        <v>354</v>
      </c>
      <c r="C135" s="207">
        <v>292269</v>
      </c>
      <c r="D135" s="208">
        <v>292269</v>
      </c>
      <c r="E135" s="209">
        <v>1</v>
      </c>
      <c r="F135" s="209">
        <v>0</v>
      </c>
      <c r="G135" s="215">
        <v>292269</v>
      </c>
      <c r="H135" s="216">
        <v>292269</v>
      </c>
      <c r="I135" s="217">
        <v>0</v>
      </c>
      <c r="J135" s="215">
        <v>11671</v>
      </c>
      <c r="K135" s="216">
        <v>11671</v>
      </c>
      <c r="L135" s="216">
        <v>0</v>
      </c>
      <c r="M135" s="215">
        <v>0</v>
      </c>
      <c r="N135" s="216">
        <v>0</v>
      </c>
      <c r="O135" s="216">
        <v>0</v>
      </c>
      <c r="P135" s="215">
        <v>0</v>
      </c>
      <c r="Q135" s="216">
        <v>0</v>
      </c>
      <c r="R135" s="216">
        <v>0</v>
      </c>
      <c r="S135" s="215">
        <v>0</v>
      </c>
      <c r="T135" s="216">
        <v>0</v>
      </c>
      <c r="U135" s="216">
        <v>0</v>
      </c>
      <c r="V135" s="215">
        <v>23195</v>
      </c>
      <c r="W135" s="216">
        <v>23195</v>
      </c>
      <c r="X135" s="216">
        <v>0</v>
      </c>
      <c r="Y135" s="218">
        <v>-3462</v>
      </c>
      <c r="Z135" s="213">
        <v>-3462</v>
      </c>
      <c r="AA135" s="213">
        <v>-3462</v>
      </c>
      <c r="AB135" s="213">
        <v>-3462</v>
      </c>
      <c r="AC135" s="213">
        <v>-3462</v>
      </c>
      <c r="AD135" s="214">
        <v>-5885</v>
      </c>
      <c r="AE135" s="218">
        <v>-3462</v>
      </c>
      <c r="AF135" s="213">
        <v>-3462</v>
      </c>
      <c r="AG135" s="213">
        <v>-3462</v>
      </c>
      <c r="AH135" s="213">
        <v>-3462</v>
      </c>
      <c r="AI135" s="213">
        <v>-3462</v>
      </c>
      <c r="AJ135" s="214">
        <v>-5885</v>
      </c>
      <c r="AK135" s="218">
        <v>0</v>
      </c>
      <c r="AL135" s="213">
        <v>0</v>
      </c>
      <c r="AM135" s="213">
        <v>0</v>
      </c>
      <c r="AN135" s="213">
        <v>0</v>
      </c>
      <c r="AO135" s="213">
        <v>0</v>
      </c>
      <c r="AP135" s="214">
        <v>0</v>
      </c>
      <c r="AQ135" s="215">
        <v>12296</v>
      </c>
      <c r="AR135" s="216">
        <v>12296</v>
      </c>
      <c r="AS135" s="217">
        <v>0</v>
      </c>
      <c r="AT135" s="228">
        <v>335328</v>
      </c>
      <c r="AU135" s="229">
        <v>256705</v>
      </c>
      <c r="AV135" s="229">
        <v>292269</v>
      </c>
      <c r="AW135" s="230">
        <v>292269</v>
      </c>
      <c r="AX135" s="228">
        <v>335328</v>
      </c>
      <c r="AY135" s="229">
        <v>256705</v>
      </c>
      <c r="AZ135" s="229">
        <v>292269</v>
      </c>
      <c r="BA135" s="230">
        <v>292269</v>
      </c>
      <c r="BB135" s="228">
        <v>0</v>
      </c>
      <c r="BC135" s="229">
        <v>0</v>
      </c>
      <c r="BD135" s="229">
        <v>0</v>
      </c>
      <c r="BE135" s="230">
        <v>0</v>
      </c>
      <c r="BF135" s="215">
        <v>316093</v>
      </c>
      <c r="BG135" s="216">
        <v>316093</v>
      </c>
      <c r="BH135" s="217">
        <v>0</v>
      </c>
      <c r="BI135" s="196">
        <f t="shared" si="2"/>
        <v>0</v>
      </c>
    </row>
    <row r="136" spans="2:61">
      <c r="B136" s="195" t="s">
        <v>355</v>
      </c>
      <c r="C136" s="207">
        <v>2674713</v>
      </c>
      <c r="D136" s="208">
        <v>791414</v>
      </c>
      <c r="E136" s="209">
        <v>0.29588700000000001</v>
      </c>
      <c r="F136" s="209">
        <v>0.70411299999999999</v>
      </c>
      <c r="G136" s="215">
        <v>2674713</v>
      </c>
      <c r="H136" s="216">
        <v>791413</v>
      </c>
      <c r="I136" s="217">
        <v>1883300</v>
      </c>
      <c r="J136" s="215">
        <v>134069</v>
      </c>
      <c r="K136" s="216">
        <v>39669</v>
      </c>
      <c r="L136" s="216">
        <v>94400</v>
      </c>
      <c r="M136" s="215">
        <v>0</v>
      </c>
      <c r="N136" s="216">
        <v>0</v>
      </c>
      <c r="O136" s="216">
        <v>0</v>
      </c>
      <c r="P136" s="215">
        <v>0</v>
      </c>
      <c r="Q136" s="216">
        <v>0</v>
      </c>
      <c r="R136" s="216">
        <v>0</v>
      </c>
      <c r="S136" s="215">
        <v>0</v>
      </c>
      <c r="T136" s="216">
        <v>0</v>
      </c>
      <c r="U136" s="216">
        <v>0</v>
      </c>
      <c r="V136" s="215">
        <v>197126</v>
      </c>
      <c r="W136" s="216">
        <v>58327</v>
      </c>
      <c r="X136" s="216">
        <v>138799</v>
      </c>
      <c r="Y136" s="218">
        <v>-24641</v>
      </c>
      <c r="Z136" s="213">
        <v>-24641</v>
      </c>
      <c r="AA136" s="213">
        <v>-24641</v>
      </c>
      <c r="AB136" s="213">
        <v>-24641</v>
      </c>
      <c r="AC136" s="213">
        <v>-24641</v>
      </c>
      <c r="AD136" s="214">
        <v>-73921</v>
      </c>
      <c r="AE136" s="218">
        <v>-7290.9515670000001</v>
      </c>
      <c r="AF136" s="213">
        <v>-7290.9515670000001</v>
      </c>
      <c r="AG136" s="213">
        <v>-7290.9515670000001</v>
      </c>
      <c r="AH136" s="213">
        <v>-7290.9515670000001</v>
      </c>
      <c r="AI136" s="213">
        <v>-7290.9515670000001</v>
      </c>
      <c r="AJ136" s="214">
        <v>-21872.262927</v>
      </c>
      <c r="AK136" s="218">
        <v>-17350.048433</v>
      </c>
      <c r="AL136" s="213">
        <v>-17350.048433</v>
      </c>
      <c r="AM136" s="213">
        <v>-17350.048433</v>
      </c>
      <c r="AN136" s="213">
        <v>-17350.048433</v>
      </c>
      <c r="AO136" s="213">
        <v>-17350.048433</v>
      </c>
      <c r="AP136" s="214">
        <v>-52048.737072999997</v>
      </c>
      <c r="AQ136" s="215">
        <v>124129</v>
      </c>
      <c r="AR136" s="216">
        <v>32568</v>
      </c>
      <c r="AS136" s="217">
        <v>91561</v>
      </c>
      <c r="AT136" s="228">
        <v>3032933</v>
      </c>
      <c r="AU136" s="229">
        <v>2374650</v>
      </c>
      <c r="AV136" s="229">
        <v>2674713</v>
      </c>
      <c r="AW136" s="230">
        <v>2674713</v>
      </c>
      <c r="AX136" s="228">
        <v>908166</v>
      </c>
      <c r="AY136" s="229">
        <v>694551</v>
      </c>
      <c r="AZ136" s="229">
        <v>791414</v>
      </c>
      <c r="BA136" s="230">
        <v>791414</v>
      </c>
      <c r="BB136" s="228">
        <v>2135527.5534290001</v>
      </c>
      <c r="BC136" s="229">
        <v>1672021.93545</v>
      </c>
      <c r="BD136" s="229">
        <v>1883300.194569</v>
      </c>
      <c r="BE136" s="230">
        <v>1883300.194569</v>
      </c>
      <c r="BF136" s="215">
        <v>2858292</v>
      </c>
      <c r="BG136" s="216">
        <v>845731</v>
      </c>
      <c r="BH136" s="217">
        <v>2012561</v>
      </c>
      <c r="BI136" s="196">
        <f t="shared" si="2"/>
        <v>-129261</v>
      </c>
    </row>
    <row r="137" spans="2:61">
      <c r="B137" s="195" t="s">
        <v>356</v>
      </c>
      <c r="C137" s="207">
        <v>0</v>
      </c>
      <c r="D137" s="208">
        <v>0</v>
      </c>
      <c r="E137" s="209">
        <v>0</v>
      </c>
      <c r="F137" s="209">
        <v>1</v>
      </c>
      <c r="G137" s="215">
        <v>0</v>
      </c>
      <c r="H137" s="216">
        <v>0</v>
      </c>
      <c r="I137" s="217">
        <v>0</v>
      </c>
      <c r="J137" s="215">
        <v>0</v>
      </c>
      <c r="K137" s="216">
        <v>0</v>
      </c>
      <c r="L137" s="216">
        <v>0</v>
      </c>
      <c r="M137" s="215">
        <v>0</v>
      </c>
      <c r="N137" s="216">
        <v>0</v>
      </c>
      <c r="O137" s="216">
        <v>0</v>
      </c>
      <c r="P137" s="215">
        <v>0</v>
      </c>
      <c r="Q137" s="216">
        <v>0</v>
      </c>
      <c r="R137" s="216">
        <v>0</v>
      </c>
      <c r="S137" s="215">
        <v>0</v>
      </c>
      <c r="T137" s="216">
        <v>0</v>
      </c>
      <c r="U137" s="216">
        <v>0</v>
      </c>
      <c r="V137" s="215">
        <v>0</v>
      </c>
      <c r="W137" s="216">
        <v>0</v>
      </c>
      <c r="X137" s="216">
        <v>0</v>
      </c>
      <c r="Y137" s="218">
        <v>0</v>
      </c>
      <c r="Z137" s="213">
        <v>0</v>
      </c>
      <c r="AA137" s="213">
        <v>0</v>
      </c>
      <c r="AB137" s="213">
        <v>0</v>
      </c>
      <c r="AC137" s="213">
        <v>0</v>
      </c>
      <c r="AD137" s="214">
        <v>0</v>
      </c>
      <c r="AE137" s="218">
        <v>0</v>
      </c>
      <c r="AF137" s="213">
        <v>0</v>
      </c>
      <c r="AG137" s="213">
        <v>0</v>
      </c>
      <c r="AH137" s="213">
        <v>0</v>
      </c>
      <c r="AI137" s="213">
        <v>0</v>
      </c>
      <c r="AJ137" s="214">
        <v>0</v>
      </c>
      <c r="AK137" s="218">
        <v>0</v>
      </c>
      <c r="AL137" s="213">
        <v>0</v>
      </c>
      <c r="AM137" s="213">
        <v>0</v>
      </c>
      <c r="AN137" s="213">
        <v>0</v>
      </c>
      <c r="AO137" s="213">
        <v>0</v>
      </c>
      <c r="AP137" s="214">
        <v>0</v>
      </c>
      <c r="AQ137" s="215">
        <v>0</v>
      </c>
      <c r="AR137" s="216">
        <v>0</v>
      </c>
      <c r="AS137" s="217">
        <v>0</v>
      </c>
      <c r="AT137" s="228">
        <v>0</v>
      </c>
      <c r="AU137" s="229">
        <v>0</v>
      </c>
      <c r="AV137" s="229">
        <v>0</v>
      </c>
      <c r="AW137" s="230">
        <v>0</v>
      </c>
      <c r="AX137" s="228">
        <v>0</v>
      </c>
      <c r="AY137" s="229">
        <v>0</v>
      </c>
      <c r="AZ137" s="229">
        <v>0</v>
      </c>
      <c r="BA137" s="230">
        <v>0</v>
      </c>
      <c r="BB137" s="228">
        <v>0</v>
      </c>
      <c r="BC137" s="229">
        <v>0</v>
      </c>
      <c r="BD137" s="229">
        <v>0</v>
      </c>
      <c r="BE137" s="230">
        <v>0</v>
      </c>
      <c r="BF137" s="215">
        <v>0</v>
      </c>
      <c r="BG137" s="216">
        <v>0</v>
      </c>
      <c r="BH137" s="217">
        <v>0</v>
      </c>
      <c r="BI137" s="196">
        <f t="shared" si="2"/>
        <v>0</v>
      </c>
    </row>
    <row r="138" spans="2:61">
      <c r="B138" s="195" t="s">
        <v>357</v>
      </c>
      <c r="C138" s="207">
        <v>2895622</v>
      </c>
      <c r="D138" s="208">
        <v>2895622</v>
      </c>
      <c r="E138" s="209">
        <v>1</v>
      </c>
      <c r="F138" s="209">
        <v>0</v>
      </c>
      <c r="G138" s="215">
        <v>2895622</v>
      </c>
      <c r="H138" s="216">
        <v>2895622</v>
      </c>
      <c r="I138" s="217">
        <v>0</v>
      </c>
      <c r="J138" s="215">
        <v>125377</v>
      </c>
      <c r="K138" s="216">
        <v>125377</v>
      </c>
      <c r="L138" s="216">
        <v>0</v>
      </c>
      <c r="M138" s="215">
        <v>0</v>
      </c>
      <c r="N138" s="216">
        <v>0</v>
      </c>
      <c r="O138" s="216">
        <v>0</v>
      </c>
      <c r="P138" s="215">
        <v>0</v>
      </c>
      <c r="Q138" s="216">
        <v>0</v>
      </c>
      <c r="R138" s="216">
        <v>0</v>
      </c>
      <c r="S138" s="215">
        <v>0</v>
      </c>
      <c r="T138" s="216">
        <v>0</v>
      </c>
      <c r="U138" s="216">
        <v>0</v>
      </c>
      <c r="V138" s="215">
        <v>238481</v>
      </c>
      <c r="W138" s="216">
        <v>238481</v>
      </c>
      <c r="X138" s="216">
        <v>0</v>
      </c>
      <c r="Y138" s="218">
        <v>-28057</v>
      </c>
      <c r="Z138" s="213">
        <v>-28057</v>
      </c>
      <c r="AA138" s="213">
        <v>-28057</v>
      </c>
      <c r="AB138" s="213">
        <v>-28057</v>
      </c>
      <c r="AC138" s="213">
        <v>-28057</v>
      </c>
      <c r="AD138" s="214">
        <v>-98196</v>
      </c>
      <c r="AE138" s="218">
        <v>-28057</v>
      </c>
      <c r="AF138" s="213">
        <v>-28057</v>
      </c>
      <c r="AG138" s="213">
        <v>-28057</v>
      </c>
      <c r="AH138" s="213">
        <v>-28057</v>
      </c>
      <c r="AI138" s="213">
        <v>-28057</v>
      </c>
      <c r="AJ138" s="214">
        <v>-98196</v>
      </c>
      <c r="AK138" s="218">
        <v>0</v>
      </c>
      <c r="AL138" s="213">
        <v>0</v>
      </c>
      <c r="AM138" s="213">
        <v>0</v>
      </c>
      <c r="AN138" s="213">
        <v>0</v>
      </c>
      <c r="AO138" s="213">
        <v>0</v>
      </c>
      <c r="AP138" s="214">
        <v>0</v>
      </c>
      <c r="AQ138" s="215">
        <v>115417</v>
      </c>
      <c r="AR138" s="216">
        <v>115417</v>
      </c>
      <c r="AS138" s="217">
        <v>0</v>
      </c>
      <c r="AT138" s="228">
        <v>3327801</v>
      </c>
      <c r="AU138" s="229">
        <v>2541179</v>
      </c>
      <c r="AV138" s="229">
        <v>2895622</v>
      </c>
      <c r="AW138" s="230">
        <v>2895622</v>
      </c>
      <c r="AX138" s="228">
        <v>3327801</v>
      </c>
      <c r="AY138" s="229">
        <v>2541179</v>
      </c>
      <c r="AZ138" s="229">
        <v>2895622</v>
      </c>
      <c r="BA138" s="230">
        <v>2895622</v>
      </c>
      <c r="BB138" s="228">
        <v>0</v>
      </c>
      <c r="BC138" s="229">
        <v>0</v>
      </c>
      <c r="BD138" s="229">
        <v>0</v>
      </c>
      <c r="BE138" s="230">
        <v>0</v>
      </c>
      <c r="BF138" s="215">
        <v>3119426</v>
      </c>
      <c r="BG138" s="216">
        <v>3119426</v>
      </c>
      <c r="BH138" s="217">
        <v>0</v>
      </c>
      <c r="BI138" s="196">
        <f t="shared" si="2"/>
        <v>0</v>
      </c>
    </row>
    <row r="139" spans="2:61">
      <c r="B139" s="195" t="s">
        <v>358</v>
      </c>
      <c r="C139" s="207">
        <v>928696</v>
      </c>
      <c r="D139" s="208">
        <v>928696</v>
      </c>
      <c r="E139" s="209">
        <v>1</v>
      </c>
      <c r="F139" s="209">
        <v>0</v>
      </c>
      <c r="G139" s="215">
        <v>928696</v>
      </c>
      <c r="H139" s="216">
        <v>928696</v>
      </c>
      <c r="I139" s="217">
        <v>0</v>
      </c>
      <c r="J139" s="215">
        <v>44849</v>
      </c>
      <c r="K139" s="216">
        <v>44849</v>
      </c>
      <c r="L139" s="216">
        <v>0</v>
      </c>
      <c r="M139" s="215">
        <v>0</v>
      </c>
      <c r="N139" s="216">
        <v>0</v>
      </c>
      <c r="O139" s="216">
        <v>0</v>
      </c>
      <c r="P139" s="215">
        <v>0</v>
      </c>
      <c r="Q139" s="216">
        <v>0</v>
      </c>
      <c r="R139" s="216">
        <v>0</v>
      </c>
      <c r="S139" s="215">
        <v>0</v>
      </c>
      <c r="T139" s="216">
        <v>0</v>
      </c>
      <c r="U139" s="216">
        <v>0</v>
      </c>
      <c r="V139" s="215">
        <v>73681</v>
      </c>
      <c r="W139" s="216">
        <v>73681</v>
      </c>
      <c r="X139" s="216">
        <v>0</v>
      </c>
      <c r="Y139" s="218">
        <v>-9210</v>
      </c>
      <c r="Z139" s="213">
        <v>-9210</v>
      </c>
      <c r="AA139" s="213">
        <v>-9210</v>
      </c>
      <c r="AB139" s="213">
        <v>-9210</v>
      </c>
      <c r="AC139" s="213">
        <v>-9210</v>
      </c>
      <c r="AD139" s="214">
        <v>-27631</v>
      </c>
      <c r="AE139" s="218">
        <v>-9210</v>
      </c>
      <c r="AF139" s="213">
        <v>-9210</v>
      </c>
      <c r="AG139" s="213">
        <v>-9210</v>
      </c>
      <c r="AH139" s="213">
        <v>-9210</v>
      </c>
      <c r="AI139" s="213">
        <v>-9210</v>
      </c>
      <c r="AJ139" s="214">
        <v>-27631</v>
      </c>
      <c r="AK139" s="218">
        <v>0</v>
      </c>
      <c r="AL139" s="213">
        <v>0</v>
      </c>
      <c r="AM139" s="213">
        <v>0</v>
      </c>
      <c r="AN139" s="213">
        <v>0</v>
      </c>
      <c r="AO139" s="213">
        <v>0</v>
      </c>
      <c r="AP139" s="214">
        <v>0</v>
      </c>
      <c r="AQ139" s="215">
        <v>37498</v>
      </c>
      <c r="AR139" s="216">
        <v>37498</v>
      </c>
      <c r="AS139" s="217">
        <v>0</v>
      </c>
      <c r="AT139" s="228">
        <v>1062761</v>
      </c>
      <c r="AU139" s="229">
        <v>818175</v>
      </c>
      <c r="AV139" s="229">
        <v>928696</v>
      </c>
      <c r="AW139" s="230">
        <v>928696</v>
      </c>
      <c r="AX139" s="228">
        <v>1062761</v>
      </c>
      <c r="AY139" s="229">
        <v>818175</v>
      </c>
      <c r="AZ139" s="229">
        <v>928696</v>
      </c>
      <c r="BA139" s="230">
        <v>928696</v>
      </c>
      <c r="BB139" s="228">
        <v>0</v>
      </c>
      <c r="BC139" s="229">
        <v>0</v>
      </c>
      <c r="BD139" s="229">
        <v>0</v>
      </c>
      <c r="BE139" s="230">
        <v>0</v>
      </c>
      <c r="BF139" s="215">
        <v>993978</v>
      </c>
      <c r="BG139" s="216">
        <v>993978</v>
      </c>
      <c r="BH139" s="217">
        <v>0</v>
      </c>
      <c r="BI139" s="196">
        <f t="shared" si="2"/>
        <v>0</v>
      </c>
    </row>
    <row r="140" spans="2:61">
      <c r="B140" s="195" t="s">
        <v>359</v>
      </c>
      <c r="C140" s="207">
        <v>39848</v>
      </c>
      <c r="D140" s="208">
        <v>39848</v>
      </c>
      <c r="E140" s="209">
        <v>1</v>
      </c>
      <c r="F140" s="209">
        <v>0</v>
      </c>
      <c r="G140" s="215">
        <v>39848</v>
      </c>
      <c r="H140" s="216">
        <v>39848</v>
      </c>
      <c r="I140" s="217">
        <v>0</v>
      </c>
      <c r="J140" s="215">
        <v>2464</v>
      </c>
      <c r="K140" s="216">
        <v>2464</v>
      </c>
      <c r="L140" s="216">
        <v>0</v>
      </c>
      <c r="M140" s="215">
        <v>0</v>
      </c>
      <c r="N140" s="216">
        <v>0</v>
      </c>
      <c r="O140" s="216">
        <v>0</v>
      </c>
      <c r="P140" s="215">
        <v>0</v>
      </c>
      <c r="Q140" s="216">
        <v>0</v>
      </c>
      <c r="R140" s="216">
        <v>0</v>
      </c>
      <c r="S140" s="215">
        <v>0</v>
      </c>
      <c r="T140" s="216">
        <v>0</v>
      </c>
      <c r="U140" s="216">
        <v>0</v>
      </c>
      <c r="V140" s="215">
        <v>3538</v>
      </c>
      <c r="W140" s="216">
        <v>3538</v>
      </c>
      <c r="X140" s="216">
        <v>0</v>
      </c>
      <c r="Y140" s="218">
        <v>-472</v>
      </c>
      <c r="Z140" s="213">
        <v>-472</v>
      </c>
      <c r="AA140" s="213">
        <v>-472</v>
      </c>
      <c r="AB140" s="213">
        <v>-472</v>
      </c>
      <c r="AC140" s="213">
        <v>-472</v>
      </c>
      <c r="AD140" s="214">
        <v>-1178</v>
      </c>
      <c r="AE140" s="218">
        <v>-472</v>
      </c>
      <c r="AF140" s="213">
        <v>-472</v>
      </c>
      <c r="AG140" s="213">
        <v>-472</v>
      </c>
      <c r="AH140" s="213">
        <v>-472</v>
      </c>
      <c r="AI140" s="213">
        <v>-472</v>
      </c>
      <c r="AJ140" s="214">
        <v>-1178</v>
      </c>
      <c r="AK140" s="218">
        <v>0</v>
      </c>
      <c r="AL140" s="213">
        <v>0</v>
      </c>
      <c r="AM140" s="213">
        <v>0</v>
      </c>
      <c r="AN140" s="213">
        <v>0</v>
      </c>
      <c r="AO140" s="213">
        <v>0</v>
      </c>
      <c r="AP140" s="214">
        <v>0</v>
      </c>
      <c r="AQ140" s="215">
        <v>661</v>
      </c>
      <c r="AR140" s="216">
        <v>661</v>
      </c>
      <c r="AS140" s="217">
        <v>0</v>
      </c>
      <c r="AT140" s="228">
        <v>46408</v>
      </c>
      <c r="AU140" s="229">
        <v>34469</v>
      </c>
      <c r="AV140" s="229">
        <v>39848</v>
      </c>
      <c r="AW140" s="230">
        <v>39848</v>
      </c>
      <c r="AX140" s="228">
        <v>46408</v>
      </c>
      <c r="AY140" s="229">
        <v>34469</v>
      </c>
      <c r="AZ140" s="229">
        <v>39848</v>
      </c>
      <c r="BA140" s="230">
        <v>39848</v>
      </c>
      <c r="BB140" s="228">
        <v>0</v>
      </c>
      <c r="BC140" s="229">
        <v>0</v>
      </c>
      <c r="BD140" s="229">
        <v>0</v>
      </c>
      <c r="BE140" s="230">
        <v>0</v>
      </c>
      <c r="BF140" s="215">
        <v>41522</v>
      </c>
      <c r="BG140" s="216">
        <v>41522</v>
      </c>
      <c r="BH140" s="217">
        <v>0</v>
      </c>
      <c r="BI140" s="196">
        <f t="shared" si="2"/>
        <v>0</v>
      </c>
    </row>
    <row r="141" spans="2:61">
      <c r="B141" s="195" t="s">
        <v>360</v>
      </c>
      <c r="C141" s="207">
        <v>1957284</v>
      </c>
      <c r="D141" s="208">
        <v>1957284</v>
      </c>
      <c r="E141" s="209">
        <v>1</v>
      </c>
      <c r="F141" s="209">
        <v>0</v>
      </c>
      <c r="G141" s="215">
        <v>1957284</v>
      </c>
      <c r="H141" s="216">
        <v>1957284</v>
      </c>
      <c r="I141" s="217">
        <v>0</v>
      </c>
      <c r="J141" s="215">
        <v>79273</v>
      </c>
      <c r="K141" s="216">
        <v>79273</v>
      </c>
      <c r="L141" s="216">
        <v>0</v>
      </c>
      <c r="M141" s="215">
        <v>0</v>
      </c>
      <c r="N141" s="216">
        <v>0</v>
      </c>
      <c r="O141" s="216">
        <v>0</v>
      </c>
      <c r="P141" s="215">
        <v>0</v>
      </c>
      <c r="Q141" s="216">
        <v>0</v>
      </c>
      <c r="R141" s="216">
        <v>0</v>
      </c>
      <c r="S141" s="215">
        <v>0</v>
      </c>
      <c r="T141" s="216">
        <v>0</v>
      </c>
      <c r="U141" s="216">
        <v>0</v>
      </c>
      <c r="V141" s="215">
        <v>155319</v>
      </c>
      <c r="W141" s="216">
        <v>155319</v>
      </c>
      <c r="X141" s="216">
        <v>0</v>
      </c>
      <c r="Y141" s="218">
        <v>-20709</v>
      </c>
      <c r="Z141" s="213">
        <v>-20709</v>
      </c>
      <c r="AA141" s="213">
        <v>-20709</v>
      </c>
      <c r="AB141" s="213">
        <v>-20709</v>
      </c>
      <c r="AC141" s="213">
        <v>-20709</v>
      </c>
      <c r="AD141" s="214">
        <v>-51774</v>
      </c>
      <c r="AE141" s="218">
        <v>-20709</v>
      </c>
      <c r="AF141" s="213">
        <v>-20709</v>
      </c>
      <c r="AG141" s="213">
        <v>-20709</v>
      </c>
      <c r="AH141" s="213">
        <v>-20709</v>
      </c>
      <c r="AI141" s="213">
        <v>-20709</v>
      </c>
      <c r="AJ141" s="214">
        <v>-51774</v>
      </c>
      <c r="AK141" s="218">
        <v>0</v>
      </c>
      <c r="AL141" s="213">
        <v>0</v>
      </c>
      <c r="AM141" s="213">
        <v>0</v>
      </c>
      <c r="AN141" s="213">
        <v>0</v>
      </c>
      <c r="AO141" s="213">
        <v>0</v>
      </c>
      <c r="AP141" s="214">
        <v>0</v>
      </c>
      <c r="AQ141" s="215">
        <v>83194</v>
      </c>
      <c r="AR141" s="216">
        <v>83194</v>
      </c>
      <c r="AS141" s="217">
        <v>0</v>
      </c>
      <c r="AT141" s="228">
        <v>2242131</v>
      </c>
      <c r="AU141" s="229">
        <v>1722326</v>
      </c>
      <c r="AV141" s="229">
        <v>1957284</v>
      </c>
      <c r="AW141" s="230">
        <v>1957284</v>
      </c>
      <c r="AX141" s="228">
        <v>2242131</v>
      </c>
      <c r="AY141" s="229">
        <v>1722326</v>
      </c>
      <c r="AZ141" s="229">
        <v>1957284</v>
      </c>
      <c r="BA141" s="230">
        <v>1957284</v>
      </c>
      <c r="BB141" s="228">
        <v>0</v>
      </c>
      <c r="BC141" s="229">
        <v>0</v>
      </c>
      <c r="BD141" s="229">
        <v>0</v>
      </c>
      <c r="BE141" s="230">
        <v>0</v>
      </c>
      <c r="BF141" s="215">
        <v>2114630</v>
      </c>
      <c r="BG141" s="216">
        <v>2114630</v>
      </c>
      <c r="BH141" s="217">
        <v>0</v>
      </c>
      <c r="BI141" s="196">
        <f t="shared" si="2"/>
        <v>0</v>
      </c>
    </row>
    <row r="142" spans="2:61">
      <c r="B142" s="195" t="s">
        <v>361</v>
      </c>
      <c r="C142" s="207">
        <v>2446849</v>
      </c>
      <c r="D142" s="208">
        <v>2446849</v>
      </c>
      <c r="E142" s="209">
        <v>1</v>
      </c>
      <c r="F142" s="209">
        <v>0</v>
      </c>
      <c r="G142" s="215">
        <v>2446849</v>
      </c>
      <c r="H142" s="216">
        <v>2446849</v>
      </c>
      <c r="I142" s="217">
        <v>0</v>
      </c>
      <c r="J142" s="215">
        <v>113425</v>
      </c>
      <c r="K142" s="216">
        <v>113425</v>
      </c>
      <c r="L142" s="216">
        <v>0</v>
      </c>
      <c r="M142" s="215">
        <v>0</v>
      </c>
      <c r="N142" s="216">
        <v>0</v>
      </c>
      <c r="O142" s="216">
        <v>0</v>
      </c>
      <c r="P142" s="215">
        <v>0</v>
      </c>
      <c r="Q142" s="216">
        <v>0</v>
      </c>
      <c r="R142" s="216">
        <v>0</v>
      </c>
      <c r="S142" s="215">
        <v>0</v>
      </c>
      <c r="T142" s="216">
        <v>0</v>
      </c>
      <c r="U142" s="216">
        <v>0</v>
      </c>
      <c r="V142" s="215">
        <v>218892</v>
      </c>
      <c r="W142" s="216">
        <v>218892</v>
      </c>
      <c r="X142" s="216">
        <v>0</v>
      </c>
      <c r="Y142" s="218">
        <v>-23537</v>
      </c>
      <c r="Z142" s="213">
        <v>-23537</v>
      </c>
      <c r="AA142" s="213">
        <v>-23537</v>
      </c>
      <c r="AB142" s="213">
        <v>-23537</v>
      </c>
      <c r="AC142" s="213">
        <v>-23537</v>
      </c>
      <c r="AD142" s="214">
        <v>-101207</v>
      </c>
      <c r="AE142" s="218">
        <v>-23537</v>
      </c>
      <c r="AF142" s="213">
        <v>-23537</v>
      </c>
      <c r="AG142" s="213">
        <v>-23537</v>
      </c>
      <c r="AH142" s="213">
        <v>-23537</v>
      </c>
      <c r="AI142" s="213">
        <v>-23537</v>
      </c>
      <c r="AJ142" s="214">
        <v>-101207</v>
      </c>
      <c r="AK142" s="218">
        <v>0</v>
      </c>
      <c r="AL142" s="213">
        <v>0</v>
      </c>
      <c r="AM142" s="213">
        <v>0</v>
      </c>
      <c r="AN142" s="213">
        <v>0</v>
      </c>
      <c r="AO142" s="213">
        <v>0</v>
      </c>
      <c r="AP142" s="214">
        <v>0</v>
      </c>
      <c r="AQ142" s="215">
        <v>82580</v>
      </c>
      <c r="AR142" s="216">
        <v>82580</v>
      </c>
      <c r="AS142" s="217">
        <v>0</v>
      </c>
      <c r="AT142" s="228">
        <v>2841033</v>
      </c>
      <c r="AU142" s="229">
        <v>2125480</v>
      </c>
      <c r="AV142" s="229">
        <v>2446849</v>
      </c>
      <c r="AW142" s="230">
        <v>2446849</v>
      </c>
      <c r="AX142" s="228">
        <v>2841033</v>
      </c>
      <c r="AY142" s="229">
        <v>2125480</v>
      </c>
      <c r="AZ142" s="229">
        <v>2446849</v>
      </c>
      <c r="BA142" s="230">
        <v>2446849</v>
      </c>
      <c r="BB142" s="228">
        <v>0</v>
      </c>
      <c r="BC142" s="229">
        <v>0</v>
      </c>
      <c r="BD142" s="229">
        <v>0</v>
      </c>
      <c r="BE142" s="230">
        <v>0</v>
      </c>
      <c r="BF142" s="215">
        <v>2631516</v>
      </c>
      <c r="BG142" s="216">
        <v>2631516</v>
      </c>
      <c r="BH142" s="217">
        <v>0</v>
      </c>
      <c r="BI142" s="196">
        <f t="shared" si="2"/>
        <v>0</v>
      </c>
    </row>
    <row r="143" spans="2:61">
      <c r="B143" s="195" t="s">
        <v>362</v>
      </c>
      <c r="C143" s="207">
        <v>205812</v>
      </c>
      <c r="D143" s="208">
        <v>205812</v>
      </c>
      <c r="E143" s="209">
        <v>1</v>
      </c>
      <c r="F143" s="209">
        <v>0</v>
      </c>
      <c r="G143" s="215">
        <v>205812</v>
      </c>
      <c r="H143" s="216">
        <v>205812</v>
      </c>
      <c r="I143" s="217">
        <v>0</v>
      </c>
      <c r="J143" s="215">
        <v>10263</v>
      </c>
      <c r="K143" s="216">
        <v>10263</v>
      </c>
      <c r="L143" s="216">
        <v>0</v>
      </c>
      <c r="M143" s="215">
        <v>0</v>
      </c>
      <c r="N143" s="216">
        <v>0</v>
      </c>
      <c r="O143" s="216">
        <v>0</v>
      </c>
      <c r="P143" s="215">
        <v>0</v>
      </c>
      <c r="Q143" s="216">
        <v>0</v>
      </c>
      <c r="R143" s="216">
        <v>0</v>
      </c>
      <c r="S143" s="215">
        <v>0</v>
      </c>
      <c r="T143" s="216">
        <v>0</v>
      </c>
      <c r="U143" s="216">
        <v>0</v>
      </c>
      <c r="V143" s="215">
        <v>18283</v>
      </c>
      <c r="W143" s="216">
        <v>18283</v>
      </c>
      <c r="X143" s="216">
        <v>0</v>
      </c>
      <c r="Y143" s="218">
        <v>-2102</v>
      </c>
      <c r="Z143" s="213">
        <v>-2102</v>
      </c>
      <c r="AA143" s="213">
        <v>-2102</v>
      </c>
      <c r="AB143" s="213">
        <v>-2102</v>
      </c>
      <c r="AC143" s="213">
        <v>-2102</v>
      </c>
      <c r="AD143" s="214">
        <v>-7773</v>
      </c>
      <c r="AE143" s="218">
        <v>-2102</v>
      </c>
      <c r="AF143" s="213">
        <v>-2102</v>
      </c>
      <c r="AG143" s="213">
        <v>-2102</v>
      </c>
      <c r="AH143" s="213">
        <v>-2102</v>
      </c>
      <c r="AI143" s="213">
        <v>-2102</v>
      </c>
      <c r="AJ143" s="214">
        <v>-7773</v>
      </c>
      <c r="AK143" s="218">
        <v>0</v>
      </c>
      <c r="AL143" s="213">
        <v>0</v>
      </c>
      <c r="AM143" s="213">
        <v>0</v>
      </c>
      <c r="AN143" s="213">
        <v>0</v>
      </c>
      <c r="AO143" s="213">
        <v>0</v>
      </c>
      <c r="AP143" s="214">
        <v>0</v>
      </c>
      <c r="AQ143" s="215">
        <v>6584</v>
      </c>
      <c r="AR143" s="216">
        <v>6584</v>
      </c>
      <c r="AS143" s="217">
        <v>0</v>
      </c>
      <c r="AT143" s="228">
        <v>238968</v>
      </c>
      <c r="AU143" s="229">
        <v>178800</v>
      </c>
      <c r="AV143" s="229">
        <v>205812</v>
      </c>
      <c r="AW143" s="230">
        <v>205812</v>
      </c>
      <c r="AX143" s="228">
        <v>238968</v>
      </c>
      <c r="AY143" s="229">
        <v>178800</v>
      </c>
      <c r="AZ143" s="229">
        <v>205812</v>
      </c>
      <c r="BA143" s="230">
        <v>205812</v>
      </c>
      <c r="BB143" s="228">
        <v>0</v>
      </c>
      <c r="BC143" s="229">
        <v>0</v>
      </c>
      <c r="BD143" s="229">
        <v>0</v>
      </c>
      <c r="BE143" s="230">
        <v>0</v>
      </c>
      <c r="BF143" s="215">
        <v>220282</v>
      </c>
      <c r="BG143" s="216">
        <v>220282</v>
      </c>
      <c r="BH143" s="217">
        <v>0</v>
      </c>
      <c r="BI143" s="196">
        <f t="shared" si="2"/>
        <v>0</v>
      </c>
    </row>
    <row r="144" spans="2:61">
      <c r="B144" s="195" t="s">
        <v>462</v>
      </c>
      <c r="C144" s="207">
        <v>270957</v>
      </c>
      <c r="D144" s="208">
        <v>270957</v>
      </c>
      <c r="E144" s="209">
        <v>1</v>
      </c>
      <c r="F144" s="209">
        <v>0</v>
      </c>
      <c r="G144" s="215">
        <v>270957</v>
      </c>
      <c r="H144" s="216">
        <v>270957</v>
      </c>
      <c r="I144" s="217">
        <v>0</v>
      </c>
      <c r="J144" s="215">
        <v>15879</v>
      </c>
      <c r="K144" s="216">
        <v>15879</v>
      </c>
      <c r="L144" s="216">
        <v>0</v>
      </c>
      <c r="M144" s="215">
        <v>0</v>
      </c>
      <c r="N144" s="216">
        <v>0</v>
      </c>
      <c r="O144" s="216">
        <v>0</v>
      </c>
      <c r="P144" s="215">
        <v>0</v>
      </c>
      <c r="Q144" s="216">
        <v>0</v>
      </c>
      <c r="R144" s="216">
        <v>0</v>
      </c>
      <c r="S144" s="215">
        <v>0</v>
      </c>
      <c r="T144" s="216">
        <v>0</v>
      </c>
      <c r="U144" s="216">
        <v>0</v>
      </c>
      <c r="V144" s="215">
        <v>30510</v>
      </c>
      <c r="W144" s="216">
        <v>30510</v>
      </c>
      <c r="X144" s="216">
        <v>0</v>
      </c>
      <c r="Y144" s="218">
        <v>-2906</v>
      </c>
      <c r="Z144" s="213">
        <v>-2906</v>
      </c>
      <c r="AA144" s="213">
        <v>-2906</v>
      </c>
      <c r="AB144" s="213">
        <v>-2906</v>
      </c>
      <c r="AC144" s="213">
        <v>-2906</v>
      </c>
      <c r="AD144" s="214">
        <v>-15980</v>
      </c>
      <c r="AE144" s="218">
        <v>-2906</v>
      </c>
      <c r="AF144" s="213">
        <v>-2906</v>
      </c>
      <c r="AG144" s="213">
        <v>-2906</v>
      </c>
      <c r="AH144" s="213">
        <v>-2906</v>
      </c>
      <c r="AI144" s="213">
        <v>-2906</v>
      </c>
      <c r="AJ144" s="214">
        <v>-15980</v>
      </c>
      <c r="AK144" s="218">
        <v>0</v>
      </c>
      <c r="AL144" s="213">
        <v>0</v>
      </c>
      <c r="AM144" s="213">
        <v>0</v>
      </c>
      <c r="AN144" s="213">
        <v>0</v>
      </c>
      <c r="AO144" s="213">
        <v>0</v>
      </c>
      <c r="AP144" s="214">
        <v>0</v>
      </c>
      <c r="AQ144" s="215">
        <v>474</v>
      </c>
      <c r="AR144" s="216">
        <v>474</v>
      </c>
      <c r="AS144" s="217">
        <v>0</v>
      </c>
      <c r="AT144" s="228">
        <v>325372</v>
      </c>
      <c r="AU144" s="229">
        <v>227410</v>
      </c>
      <c r="AV144" s="229">
        <v>270957</v>
      </c>
      <c r="AW144" s="230">
        <v>270957</v>
      </c>
      <c r="AX144" s="228">
        <v>325372</v>
      </c>
      <c r="AY144" s="229">
        <v>227410</v>
      </c>
      <c r="AZ144" s="229">
        <v>270957</v>
      </c>
      <c r="BA144" s="230">
        <v>270957</v>
      </c>
      <c r="BB144" s="228">
        <v>0</v>
      </c>
      <c r="BC144" s="229">
        <v>0</v>
      </c>
      <c r="BD144" s="229">
        <v>0</v>
      </c>
      <c r="BE144" s="230">
        <v>0</v>
      </c>
      <c r="BF144" s="215">
        <v>285588</v>
      </c>
      <c r="BG144" s="216">
        <v>285588</v>
      </c>
      <c r="BH144" s="217">
        <v>0</v>
      </c>
      <c r="BI144" s="196">
        <f t="shared" si="2"/>
        <v>0</v>
      </c>
    </row>
    <row r="145" spans="2:61">
      <c r="B145" s="195" t="s">
        <v>463</v>
      </c>
      <c r="C145" s="207">
        <v>3721312</v>
      </c>
      <c r="D145" s="208">
        <v>3721312</v>
      </c>
      <c r="E145" s="209">
        <v>1</v>
      </c>
      <c r="F145" s="209">
        <v>0</v>
      </c>
      <c r="G145" s="215">
        <v>3721312</v>
      </c>
      <c r="H145" s="216">
        <v>3721312</v>
      </c>
      <c r="I145" s="217">
        <v>0</v>
      </c>
      <c r="J145" s="215">
        <v>253134</v>
      </c>
      <c r="K145" s="216">
        <v>253134</v>
      </c>
      <c r="L145" s="216">
        <v>0</v>
      </c>
      <c r="M145" s="215">
        <v>0</v>
      </c>
      <c r="N145" s="216">
        <v>0</v>
      </c>
      <c r="O145" s="216">
        <v>0</v>
      </c>
      <c r="P145" s="215">
        <v>0</v>
      </c>
      <c r="Q145" s="216">
        <v>0</v>
      </c>
      <c r="R145" s="216">
        <v>0</v>
      </c>
      <c r="S145" s="215">
        <v>0</v>
      </c>
      <c r="T145" s="216">
        <v>0</v>
      </c>
      <c r="U145" s="216">
        <v>0</v>
      </c>
      <c r="V145" s="215">
        <v>439327</v>
      </c>
      <c r="W145" s="216">
        <v>439327</v>
      </c>
      <c r="X145" s="216">
        <v>0</v>
      </c>
      <c r="Y145" s="218">
        <v>-38878</v>
      </c>
      <c r="Z145" s="213">
        <v>-38878</v>
      </c>
      <c r="AA145" s="213">
        <v>-38878</v>
      </c>
      <c r="AB145" s="213">
        <v>-38878</v>
      </c>
      <c r="AC145" s="213">
        <v>-38878</v>
      </c>
      <c r="AD145" s="214">
        <v>-244937</v>
      </c>
      <c r="AE145" s="218">
        <v>-38878</v>
      </c>
      <c r="AF145" s="213">
        <v>-38878</v>
      </c>
      <c r="AG145" s="213">
        <v>-38878</v>
      </c>
      <c r="AH145" s="213">
        <v>-38878</v>
      </c>
      <c r="AI145" s="213">
        <v>-38878</v>
      </c>
      <c r="AJ145" s="214">
        <v>-244937</v>
      </c>
      <c r="AK145" s="218">
        <v>0</v>
      </c>
      <c r="AL145" s="213">
        <v>0</v>
      </c>
      <c r="AM145" s="213">
        <v>0</v>
      </c>
      <c r="AN145" s="213">
        <v>0</v>
      </c>
      <c r="AO145" s="213">
        <v>0</v>
      </c>
      <c r="AP145" s="214">
        <v>0</v>
      </c>
      <c r="AQ145" s="215">
        <v>8866</v>
      </c>
      <c r="AR145" s="216">
        <v>8866</v>
      </c>
      <c r="AS145" s="217">
        <v>0</v>
      </c>
      <c r="AT145" s="228">
        <v>4499976</v>
      </c>
      <c r="AU145" s="229">
        <v>3099703</v>
      </c>
      <c r="AV145" s="229">
        <v>3721312</v>
      </c>
      <c r="AW145" s="230">
        <v>3721312</v>
      </c>
      <c r="AX145" s="228">
        <v>4499976</v>
      </c>
      <c r="AY145" s="229">
        <v>3099703</v>
      </c>
      <c r="AZ145" s="229">
        <v>3721312</v>
      </c>
      <c r="BA145" s="230">
        <v>3721312</v>
      </c>
      <c r="BB145" s="228">
        <v>0</v>
      </c>
      <c r="BC145" s="229">
        <v>0</v>
      </c>
      <c r="BD145" s="229">
        <v>0</v>
      </c>
      <c r="BE145" s="230">
        <v>0</v>
      </c>
      <c r="BF145" s="215">
        <v>3907505</v>
      </c>
      <c r="BG145" s="216">
        <v>3907505</v>
      </c>
      <c r="BH145" s="217">
        <v>0</v>
      </c>
      <c r="BI145" s="196">
        <f t="shared" si="2"/>
        <v>0</v>
      </c>
    </row>
    <row r="146" spans="2:61">
      <c r="B146" s="195" t="s">
        <v>363</v>
      </c>
      <c r="C146" s="207">
        <v>109548</v>
      </c>
      <c r="D146" s="208">
        <v>109548</v>
      </c>
      <c r="E146" s="209">
        <v>1</v>
      </c>
      <c r="F146" s="209">
        <v>0</v>
      </c>
      <c r="G146" s="215">
        <v>109548</v>
      </c>
      <c r="H146" s="216">
        <v>109548</v>
      </c>
      <c r="I146" s="217">
        <v>0</v>
      </c>
      <c r="J146" s="215">
        <v>4875</v>
      </c>
      <c r="K146" s="216">
        <v>4875</v>
      </c>
      <c r="L146" s="216">
        <v>0</v>
      </c>
      <c r="M146" s="215">
        <v>0</v>
      </c>
      <c r="N146" s="216">
        <v>0</v>
      </c>
      <c r="O146" s="216">
        <v>0</v>
      </c>
      <c r="P146" s="215">
        <v>0</v>
      </c>
      <c r="Q146" s="216">
        <v>0</v>
      </c>
      <c r="R146" s="216">
        <v>0</v>
      </c>
      <c r="S146" s="215">
        <v>0</v>
      </c>
      <c r="T146" s="216">
        <v>0</v>
      </c>
      <c r="U146" s="216">
        <v>0</v>
      </c>
      <c r="V146" s="215">
        <v>8432</v>
      </c>
      <c r="W146" s="216">
        <v>8432</v>
      </c>
      <c r="X146" s="216">
        <v>0</v>
      </c>
      <c r="Y146" s="218">
        <v>-1124</v>
      </c>
      <c r="Z146" s="213">
        <v>-1124</v>
      </c>
      <c r="AA146" s="213">
        <v>-1124</v>
      </c>
      <c r="AB146" s="213">
        <v>-1124</v>
      </c>
      <c r="AC146" s="213">
        <v>-1124</v>
      </c>
      <c r="AD146" s="214">
        <v>-2812</v>
      </c>
      <c r="AE146" s="218">
        <v>-1124</v>
      </c>
      <c r="AF146" s="213">
        <v>-1124</v>
      </c>
      <c r="AG146" s="213">
        <v>-1124</v>
      </c>
      <c r="AH146" s="213">
        <v>-1124</v>
      </c>
      <c r="AI146" s="213">
        <v>-1124</v>
      </c>
      <c r="AJ146" s="214">
        <v>-2812</v>
      </c>
      <c r="AK146" s="218">
        <v>0</v>
      </c>
      <c r="AL146" s="213">
        <v>0</v>
      </c>
      <c r="AM146" s="213">
        <v>0</v>
      </c>
      <c r="AN146" s="213">
        <v>0</v>
      </c>
      <c r="AO146" s="213">
        <v>0</v>
      </c>
      <c r="AP146" s="214">
        <v>0</v>
      </c>
      <c r="AQ146" s="215">
        <v>4137</v>
      </c>
      <c r="AR146" s="216">
        <v>4137</v>
      </c>
      <c r="AS146" s="217">
        <v>0</v>
      </c>
      <c r="AT146" s="228">
        <v>124951</v>
      </c>
      <c r="AU146" s="229">
        <v>96749</v>
      </c>
      <c r="AV146" s="229">
        <v>109548</v>
      </c>
      <c r="AW146" s="230">
        <v>109548</v>
      </c>
      <c r="AX146" s="228">
        <v>124951</v>
      </c>
      <c r="AY146" s="229">
        <v>96749</v>
      </c>
      <c r="AZ146" s="229">
        <v>109548</v>
      </c>
      <c r="BA146" s="230">
        <v>109548</v>
      </c>
      <c r="BB146" s="228">
        <v>0</v>
      </c>
      <c r="BC146" s="229">
        <v>0</v>
      </c>
      <c r="BD146" s="229">
        <v>0</v>
      </c>
      <c r="BE146" s="230">
        <v>0</v>
      </c>
      <c r="BF146" s="215">
        <v>117155</v>
      </c>
      <c r="BG146" s="216">
        <v>117155</v>
      </c>
      <c r="BH146" s="217">
        <v>0</v>
      </c>
      <c r="BI146" s="196">
        <f t="shared" si="2"/>
        <v>0</v>
      </c>
    </row>
    <row r="147" spans="2:61">
      <c r="B147" s="195" t="s">
        <v>364</v>
      </c>
      <c r="C147" s="207">
        <v>2208646</v>
      </c>
      <c r="D147" s="208">
        <v>987459</v>
      </c>
      <c r="E147" s="209">
        <v>0.44708799999999999</v>
      </c>
      <c r="F147" s="209">
        <v>0.55291200000000007</v>
      </c>
      <c r="G147" s="215">
        <v>2208646</v>
      </c>
      <c r="H147" s="216">
        <v>987459</v>
      </c>
      <c r="I147" s="217">
        <v>1221187</v>
      </c>
      <c r="J147" s="215">
        <v>116776</v>
      </c>
      <c r="K147" s="216">
        <v>52209</v>
      </c>
      <c r="L147" s="216">
        <v>64567</v>
      </c>
      <c r="M147" s="215">
        <v>0</v>
      </c>
      <c r="N147" s="216">
        <v>0</v>
      </c>
      <c r="O147" s="216">
        <v>0</v>
      </c>
      <c r="P147" s="215">
        <v>0</v>
      </c>
      <c r="Q147" s="216">
        <v>0</v>
      </c>
      <c r="R147" s="216">
        <v>0</v>
      </c>
      <c r="S147" s="215">
        <v>0</v>
      </c>
      <c r="T147" s="216">
        <v>0</v>
      </c>
      <c r="U147" s="216">
        <v>0</v>
      </c>
      <c r="V147" s="215">
        <v>186450</v>
      </c>
      <c r="W147" s="216">
        <v>83360</v>
      </c>
      <c r="X147" s="216">
        <v>103090</v>
      </c>
      <c r="Y147" s="218">
        <v>-23306</v>
      </c>
      <c r="Z147" s="213">
        <v>-23306</v>
      </c>
      <c r="AA147" s="213">
        <v>-23306</v>
      </c>
      <c r="AB147" s="213">
        <v>-23306</v>
      </c>
      <c r="AC147" s="213">
        <v>-23306</v>
      </c>
      <c r="AD147" s="214">
        <v>-69920</v>
      </c>
      <c r="AE147" s="218">
        <v>-10419.832928</v>
      </c>
      <c r="AF147" s="213">
        <v>-10419.832928</v>
      </c>
      <c r="AG147" s="213">
        <v>-10419.832928</v>
      </c>
      <c r="AH147" s="213">
        <v>-10419.832928</v>
      </c>
      <c r="AI147" s="213">
        <v>-10419.832928</v>
      </c>
      <c r="AJ147" s="214">
        <v>-31260.392959999997</v>
      </c>
      <c r="AK147" s="218">
        <v>-12886.167072</v>
      </c>
      <c r="AL147" s="213">
        <v>-12886.167072</v>
      </c>
      <c r="AM147" s="213">
        <v>-12886.167072</v>
      </c>
      <c r="AN147" s="213">
        <v>-12886.167072</v>
      </c>
      <c r="AO147" s="213">
        <v>-12886.167072</v>
      </c>
      <c r="AP147" s="214">
        <v>-38659.607040000003</v>
      </c>
      <c r="AQ147" s="215">
        <v>75839</v>
      </c>
      <c r="AR147" s="216">
        <v>37208</v>
      </c>
      <c r="AS147" s="217">
        <v>38631</v>
      </c>
      <c r="AT147" s="228">
        <v>2548465</v>
      </c>
      <c r="AU147" s="229">
        <v>1928651</v>
      </c>
      <c r="AV147" s="229">
        <v>2208646</v>
      </c>
      <c r="AW147" s="230">
        <v>2208646</v>
      </c>
      <c r="AX147" s="228">
        <v>1140090</v>
      </c>
      <c r="AY147" s="229">
        <v>862249</v>
      </c>
      <c r="AZ147" s="229">
        <v>987459</v>
      </c>
      <c r="BA147" s="230">
        <v>987459</v>
      </c>
      <c r="BB147" s="228">
        <v>1409076.8800800003</v>
      </c>
      <c r="BC147" s="229">
        <v>1066374.281712</v>
      </c>
      <c r="BD147" s="229">
        <v>1221186.8771520001</v>
      </c>
      <c r="BE147" s="230">
        <v>1221186.8771520001</v>
      </c>
      <c r="BF147" s="215">
        <v>2351820</v>
      </c>
      <c r="BG147" s="216">
        <v>1051471</v>
      </c>
      <c r="BH147" s="217">
        <v>1300349</v>
      </c>
      <c r="BI147" s="196">
        <f t="shared" si="2"/>
        <v>-79162</v>
      </c>
    </row>
    <row r="148" spans="2:61">
      <c r="B148" s="195" t="s">
        <v>365</v>
      </c>
      <c r="C148" s="207">
        <v>448878</v>
      </c>
      <c r="D148" s="208">
        <v>448878</v>
      </c>
      <c r="E148" s="209">
        <v>1</v>
      </c>
      <c r="F148" s="209">
        <v>0</v>
      </c>
      <c r="G148" s="215">
        <v>448878</v>
      </c>
      <c r="H148" s="216">
        <v>448878</v>
      </c>
      <c r="I148" s="217">
        <v>0</v>
      </c>
      <c r="J148" s="215">
        <v>22058</v>
      </c>
      <c r="K148" s="216">
        <v>22058</v>
      </c>
      <c r="L148" s="216">
        <v>0</v>
      </c>
      <c r="M148" s="215">
        <v>0</v>
      </c>
      <c r="N148" s="216">
        <v>0</v>
      </c>
      <c r="O148" s="216">
        <v>0</v>
      </c>
      <c r="P148" s="215">
        <v>0</v>
      </c>
      <c r="Q148" s="216">
        <v>0</v>
      </c>
      <c r="R148" s="216">
        <v>0</v>
      </c>
      <c r="S148" s="215">
        <v>0</v>
      </c>
      <c r="T148" s="216">
        <v>0</v>
      </c>
      <c r="U148" s="216">
        <v>0</v>
      </c>
      <c r="V148" s="215">
        <v>37577</v>
      </c>
      <c r="W148" s="216">
        <v>37577</v>
      </c>
      <c r="X148" s="216">
        <v>0</v>
      </c>
      <c r="Y148" s="218">
        <v>-4319</v>
      </c>
      <c r="Z148" s="213">
        <v>-4319</v>
      </c>
      <c r="AA148" s="213">
        <v>-4319</v>
      </c>
      <c r="AB148" s="213">
        <v>-4319</v>
      </c>
      <c r="AC148" s="213">
        <v>-4319</v>
      </c>
      <c r="AD148" s="214">
        <v>-15982</v>
      </c>
      <c r="AE148" s="218">
        <v>-4319</v>
      </c>
      <c r="AF148" s="213">
        <v>-4319</v>
      </c>
      <c r="AG148" s="213">
        <v>-4319</v>
      </c>
      <c r="AH148" s="213">
        <v>-4319</v>
      </c>
      <c r="AI148" s="213">
        <v>-4319</v>
      </c>
      <c r="AJ148" s="214">
        <v>-15982</v>
      </c>
      <c r="AK148" s="218">
        <v>0</v>
      </c>
      <c r="AL148" s="213">
        <v>0</v>
      </c>
      <c r="AM148" s="213">
        <v>0</v>
      </c>
      <c r="AN148" s="213">
        <v>0</v>
      </c>
      <c r="AO148" s="213">
        <v>0</v>
      </c>
      <c r="AP148" s="214">
        <v>0</v>
      </c>
      <c r="AQ148" s="215">
        <v>17782</v>
      </c>
      <c r="AR148" s="216">
        <v>17782</v>
      </c>
      <c r="AS148" s="217">
        <v>0</v>
      </c>
      <c r="AT148" s="228">
        <v>516983</v>
      </c>
      <c r="AU148" s="229">
        <v>393051</v>
      </c>
      <c r="AV148" s="229">
        <v>448878</v>
      </c>
      <c r="AW148" s="230">
        <v>448878</v>
      </c>
      <c r="AX148" s="228">
        <v>516983</v>
      </c>
      <c r="AY148" s="229">
        <v>393051</v>
      </c>
      <c r="AZ148" s="229">
        <v>448878</v>
      </c>
      <c r="BA148" s="230">
        <v>448878</v>
      </c>
      <c r="BB148" s="228">
        <v>0</v>
      </c>
      <c r="BC148" s="229">
        <v>0</v>
      </c>
      <c r="BD148" s="229">
        <v>0</v>
      </c>
      <c r="BE148" s="230">
        <v>0</v>
      </c>
      <c r="BF148" s="215">
        <v>481947</v>
      </c>
      <c r="BG148" s="216">
        <v>481947</v>
      </c>
      <c r="BH148" s="217">
        <v>0</v>
      </c>
      <c r="BI148" s="196">
        <f t="shared" si="2"/>
        <v>0</v>
      </c>
    </row>
    <row r="149" spans="2:61">
      <c r="B149" s="195" t="s">
        <v>366</v>
      </c>
      <c r="C149" s="207">
        <v>8831988</v>
      </c>
      <c r="D149" s="208">
        <v>3856109</v>
      </c>
      <c r="E149" s="209">
        <v>0.43660700000000002</v>
      </c>
      <c r="F149" s="209">
        <v>0.56339300000000003</v>
      </c>
      <c r="G149" s="215">
        <v>8831988</v>
      </c>
      <c r="H149" s="216">
        <v>3856108</v>
      </c>
      <c r="I149" s="217">
        <v>4975880</v>
      </c>
      <c r="J149" s="215">
        <v>507454</v>
      </c>
      <c r="K149" s="216">
        <v>221558</v>
      </c>
      <c r="L149" s="216">
        <v>285896</v>
      </c>
      <c r="M149" s="215">
        <v>0</v>
      </c>
      <c r="N149" s="216">
        <v>0</v>
      </c>
      <c r="O149" s="216">
        <v>0</v>
      </c>
      <c r="P149" s="215">
        <v>0</v>
      </c>
      <c r="Q149" s="216">
        <v>0</v>
      </c>
      <c r="R149" s="216">
        <v>0</v>
      </c>
      <c r="S149" s="215">
        <v>0</v>
      </c>
      <c r="T149" s="216">
        <v>0</v>
      </c>
      <c r="U149" s="216">
        <v>0</v>
      </c>
      <c r="V149" s="215">
        <v>806303</v>
      </c>
      <c r="W149" s="216">
        <v>352038</v>
      </c>
      <c r="X149" s="216">
        <v>454265</v>
      </c>
      <c r="Y149" s="218">
        <v>-100788</v>
      </c>
      <c r="Z149" s="213">
        <v>-100788</v>
      </c>
      <c r="AA149" s="213">
        <v>-100788</v>
      </c>
      <c r="AB149" s="213">
        <v>-100788</v>
      </c>
      <c r="AC149" s="213">
        <v>-100788</v>
      </c>
      <c r="AD149" s="214">
        <v>-302363</v>
      </c>
      <c r="AE149" s="218">
        <v>-44004.746316000004</v>
      </c>
      <c r="AF149" s="213">
        <v>-44004.746316000004</v>
      </c>
      <c r="AG149" s="213">
        <v>-44004.746316000004</v>
      </c>
      <c r="AH149" s="213">
        <v>-44004.746316000004</v>
      </c>
      <c r="AI149" s="213">
        <v>-44004.746316000004</v>
      </c>
      <c r="AJ149" s="214">
        <v>-132013.802341</v>
      </c>
      <c r="AK149" s="218">
        <v>-56783.253683999996</v>
      </c>
      <c r="AL149" s="213">
        <v>-56783.253683999996</v>
      </c>
      <c r="AM149" s="213">
        <v>-56783.253683999996</v>
      </c>
      <c r="AN149" s="213">
        <v>-56783.253683999996</v>
      </c>
      <c r="AO149" s="213">
        <v>-56783.253683999996</v>
      </c>
      <c r="AP149" s="214">
        <v>-170349.197659</v>
      </c>
      <c r="AQ149" s="215">
        <v>195477</v>
      </c>
      <c r="AR149" s="216">
        <v>93793</v>
      </c>
      <c r="AS149" s="217">
        <v>101684</v>
      </c>
      <c r="AT149" s="228">
        <v>10303605</v>
      </c>
      <c r="AU149" s="229">
        <v>7626728</v>
      </c>
      <c r="AV149" s="229">
        <v>8831988</v>
      </c>
      <c r="AW149" s="230">
        <v>8831988</v>
      </c>
      <c r="AX149" s="228">
        <v>4509381</v>
      </c>
      <c r="AY149" s="229">
        <v>3324133</v>
      </c>
      <c r="AZ149" s="229">
        <v>3856109</v>
      </c>
      <c r="BA149" s="230">
        <v>3856109</v>
      </c>
      <c r="BB149" s="228">
        <v>5804978.9317650003</v>
      </c>
      <c r="BC149" s="229">
        <v>4296845.1681040004</v>
      </c>
      <c r="BD149" s="229">
        <v>4975880.2152840002</v>
      </c>
      <c r="BE149" s="230">
        <v>4975880.2152840002</v>
      </c>
      <c r="BF149" s="215">
        <v>9309937</v>
      </c>
      <c r="BG149" s="216">
        <v>4064784</v>
      </c>
      <c r="BH149" s="217">
        <v>5245153</v>
      </c>
      <c r="BI149" s="196">
        <f t="shared" si="2"/>
        <v>-269273</v>
      </c>
    </row>
    <row r="150" spans="2:61">
      <c r="B150" s="219" t="s">
        <v>464</v>
      </c>
      <c r="C150" s="207">
        <v>11541366</v>
      </c>
      <c r="D150" s="208">
        <v>11541366</v>
      </c>
      <c r="E150" s="209">
        <v>1</v>
      </c>
      <c r="F150" s="209">
        <v>0</v>
      </c>
      <c r="G150" s="220">
        <v>11541366</v>
      </c>
      <c r="H150" s="221">
        <v>11541366</v>
      </c>
      <c r="I150" s="222">
        <v>0</v>
      </c>
      <c r="J150" s="220">
        <v>723232</v>
      </c>
      <c r="K150" s="221">
        <v>723232</v>
      </c>
      <c r="L150" s="221">
        <v>0</v>
      </c>
      <c r="M150" s="220">
        <v>0</v>
      </c>
      <c r="N150" s="221">
        <v>0</v>
      </c>
      <c r="O150" s="221">
        <v>0</v>
      </c>
      <c r="P150" s="220">
        <v>0</v>
      </c>
      <c r="Q150" s="221">
        <v>0</v>
      </c>
      <c r="R150" s="221">
        <v>0</v>
      </c>
      <c r="S150" s="220">
        <v>0</v>
      </c>
      <c r="T150" s="221">
        <v>0</v>
      </c>
      <c r="U150" s="221">
        <v>0</v>
      </c>
      <c r="V150" s="220">
        <v>1265282</v>
      </c>
      <c r="W150" s="221">
        <v>1265282</v>
      </c>
      <c r="X150" s="221">
        <v>0</v>
      </c>
      <c r="Y150" s="218">
        <v>-121662</v>
      </c>
      <c r="Z150" s="213">
        <v>-121662</v>
      </c>
      <c r="AA150" s="213">
        <v>-121662</v>
      </c>
      <c r="AB150" s="213">
        <v>-121662</v>
      </c>
      <c r="AC150" s="213">
        <v>-121662</v>
      </c>
      <c r="AD150" s="214">
        <v>-656972</v>
      </c>
      <c r="AE150" s="218">
        <v>-121662</v>
      </c>
      <c r="AF150" s="213">
        <v>-121662</v>
      </c>
      <c r="AG150" s="213">
        <v>-121662</v>
      </c>
      <c r="AH150" s="213">
        <v>-121662</v>
      </c>
      <c r="AI150" s="213">
        <v>-121662</v>
      </c>
      <c r="AJ150" s="214">
        <v>-656972</v>
      </c>
      <c r="AK150" s="218">
        <v>0</v>
      </c>
      <c r="AL150" s="213">
        <v>0</v>
      </c>
      <c r="AM150" s="213">
        <v>0</v>
      </c>
      <c r="AN150" s="213">
        <v>0</v>
      </c>
      <c r="AO150" s="213">
        <v>0</v>
      </c>
      <c r="AP150" s="214">
        <v>0</v>
      </c>
      <c r="AQ150" s="220">
        <v>30156</v>
      </c>
      <c r="AR150" s="221">
        <v>30156</v>
      </c>
      <c r="AS150" s="222">
        <v>0</v>
      </c>
      <c r="AT150" s="231">
        <v>13797683</v>
      </c>
      <c r="AU150" s="232">
        <v>9723531</v>
      </c>
      <c r="AV150" s="232">
        <v>11541366</v>
      </c>
      <c r="AW150" s="233">
        <v>11541366</v>
      </c>
      <c r="AX150" s="231">
        <v>13797683</v>
      </c>
      <c r="AY150" s="232">
        <v>9723531</v>
      </c>
      <c r="AZ150" s="232">
        <v>11541366</v>
      </c>
      <c r="BA150" s="233">
        <v>11541366</v>
      </c>
      <c r="BB150" s="231">
        <v>0</v>
      </c>
      <c r="BC150" s="232">
        <v>0</v>
      </c>
      <c r="BD150" s="232">
        <v>0</v>
      </c>
      <c r="BE150" s="233">
        <v>0</v>
      </c>
      <c r="BF150" s="220">
        <v>12083416</v>
      </c>
      <c r="BG150" s="221">
        <v>12083416</v>
      </c>
      <c r="BH150" s="222">
        <v>0</v>
      </c>
      <c r="BI150" s="196">
        <f t="shared" si="2"/>
        <v>0</v>
      </c>
    </row>
    <row r="151" spans="2:61">
      <c r="B151" s="195" t="s">
        <v>465</v>
      </c>
      <c r="C151" s="207">
        <v>1542548</v>
      </c>
      <c r="D151" s="208">
        <v>1542548</v>
      </c>
      <c r="E151" s="209">
        <v>1</v>
      </c>
      <c r="F151" s="209">
        <v>0</v>
      </c>
      <c r="G151" s="215">
        <v>1542548</v>
      </c>
      <c r="H151" s="216">
        <v>1542548</v>
      </c>
      <c r="I151" s="217">
        <v>0</v>
      </c>
      <c r="J151" s="215">
        <v>103823</v>
      </c>
      <c r="K151" s="216">
        <v>103823</v>
      </c>
      <c r="L151" s="216">
        <v>0</v>
      </c>
      <c r="M151" s="215">
        <v>0</v>
      </c>
      <c r="N151" s="216">
        <v>0</v>
      </c>
      <c r="O151" s="216">
        <v>0</v>
      </c>
      <c r="P151" s="215">
        <v>0</v>
      </c>
      <c r="Q151" s="216">
        <v>0</v>
      </c>
      <c r="R151" s="216">
        <v>0</v>
      </c>
      <c r="S151" s="215">
        <v>0</v>
      </c>
      <c r="T151" s="216">
        <v>0</v>
      </c>
      <c r="U151" s="216">
        <v>0</v>
      </c>
      <c r="V151" s="215">
        <v>183676</v>
      </c>
      <c r="W151" s="216">
        <v>183676</v>
      </c>
      <c r="X151" s="216">
        <v>0</v>
      </c>
      <c r="Y151" s="218">
        <v>-17328</v>
      </c>
      <c r="Z151" s="213">
        <v>-17328</v>
      </c>
      <c r="AA151" s="213">
        <v>-17328</v>
      </c>
      <c r="AB151" s="213">
        <v>-17328</v>
      </c>
      <c r="AC151" s="213">
        <v>-17328</v>
      </c>
      <c r="AD151" s="214">
        <v>-97036</v>
      </c>
      <c r="AE151" s="218">
        <v>-17328</v>
      </c>
      <c r="AF151" s="213">
        <v>-17328</v>
      </c>
      <c r="AG151" s="213">
        <v>-17328</v>
      </c>
      <c r="AH151" s="213">
        <v>-17328</v>
      </c>
      <c r="AI151" s="213">
        <v>-17328</v>
      </c>
      <c r="AJ151" s="214">
        <v>-97036</v>
      </c>
      <c r="AK151" s="218">
        <v>0</v>
      </c>
      <c r="AL151" s="213">
        <v>0</v>
      </c>
      <c r="AM151" s="213">
        <v>0</v>
      </c>
      <c r="AN151" s="213">
        <v>0</v>
      </c>
      <c r="AO151" s="213">
        <v>0</v>
      </c>
      <c r="AP151" s="214">
        <v>0</v>
      </c>
      <c r="AQ151" s="215">
        <v>3303</v>
      </c>
      <c r="AR151" s="216">
        <v>3303</v>
      </c>
      <c r="AS151" s="217">
        <v>0</v>
      </c>
      <c r="AT151" s="228">
        <v>1869911</v>
      </c>
      <c r="AU151" s="229">
        <v>1281020</v>
      </c>
      <c r="AV151" s="229">
        <v>1542548</v>
      </c>
      <c r="AW151" s="230">
        <v>1542548</v>
      </c>
      <c r="AX151" s="228">
        <v>1869911</v>
      </c>
      <c r="AY151" s="229">
        <v>1281020</v>
      </c>
      <c r="AZ151" s="229">
        <v>1542548</v>
      </c>
      <c r="BA151" s="230">
        <v>1542548</v>
      </c>
      <c r="BB151" s="228">
        <v>0</v>
      </c>
      <c r="BC151" s="229">
        <v>0</v>
      </c>
      <c r="BD151" s="229">
        <v>0</v>
      </c>
      <c r="BE151" s="230">
        <v>0</v>
      </c>
      <c r="BF151" s="215">
        <v>1622401</v>
      </c>
      <c r="BG151" s="216">
        <v>1622401</v>
      </c>
      <c r="BH151" s="217">
        <v>0</v>
      </c>
      <c r="BI151" s="196">
        <f t="shared" si="2"/>
        <v>0</v>
      </c>
    </row>
    <row r="152" spans="2:61">
      <c r="B152" s="195" t="s">
        <v>367</v>
      </c>
      <c r="C152" s="207">
        <v>788951</v>
      </c>
      <c r="D152" s="208">
        <v>788951</v>
      </c>
      <c r="E152" s="209">
        <v>1</v>
      </c>
      <c r="F152" s="209">
        <v>0</v>
      </c>
      <c r="G152" s="215">
        <v>788951</v>
      </c>
      <c r="H152" s="216">
        <v>788951</v>
      </c>
      <c r="I152" s="217">
        <v>0</v>
      </c>
      <c r="J152" s="215">
        <v>35710</v>
      </c>
      <c r="K152" s="216">
        <v>35710</v>
      </c>
      <c r="L152" s="216">
        <v>0</v>
      </c>
      <c r="M152" s="215">
        <v>0</v>
      </c>
      <c r="N152" s="216">
        <v>0</v>
      </c>
      <c r="O152" s="216">
        <v>0</v>
      </c>
      <c r="P152" s="215">
        <v>0</v>
      </c>
      <c r="Q152" s="216">
        <v>0</v>
      </c>
      <c r="R152" s="216">
        <v>0</v>
      </c>
      <c r="S152" s="215">
        <v>0</v>
      </c>
      <c r="T152" s="216">
        <v>0</v>
      </c>
      <c r="U152" s="216">
        <v>0</v>
      </c>
      <c r="V152" s="215">
        <v>66944</v>
      </c>
      <c r="W152" s="216">
        <v>66944</v>
      </c>
      <c r="X152" s="216">
        <v>0</v>
      </c>
      <c r="Y152" s="218">
        <v>-7607</v>
      </c>
      <c r="Z152" s="213">
        <v>-7607</v>
      </c>
      <c r="AA152" s="213">
        <v>-7607</v>
      </c>
      <c r="AB152" s="213">
        <v>-7607</v>
      </c>
      <c r="AC152" s="213">
        <v>-7607</v>
      </c>
      <c r="AD152" s="214">
        <v>-28909</v>
      </c>
      <c r="AE152" s="218">
        <v>-7607</v>
      </c>
      <c r="AF152" s="213">
        <v>-7607</v>
      </c>
      <c r="AG152" s="213">
        <v>-7607</v>
      </c>
      <c r="AH152" s="213">
        <v>-7607</v>
      </c>
      <c r="AI152" s="213">
        <v>-7607</v>
      </c>
      <c r="AJ152" s="214">
        <v>-28909</v>
      </c>
      <c r="AK152" s="218">
        <v>0</v>
      </c>
      <c r="AL152" s="213">
        <v>0</v>
      </c>
      <c r="AM152" s="213">
        <v>0</v>
      </c>
      <c r="AN152" s="213">
        <v>0</v>
      </c>
      <c r="AO152" s="213">
        <v>0</v>
      </c>
      <c r="AP152" s="214">
        <v>0</v>
      </c>
      <c r="AQ152" s="215">
        <v>29266</v>
      </c>
      <c r="AR152" s="216">
        <v>29266</v>
      </c>
      <c r="AS152" s="217">
        <v>0</v>
      </c>
      <c r="AT152" s="228">
        <v>909726</v>
      </c>
      <c r="AU152" s="229">
        <v>690034</v>
      </c>
      <c r="AV152" s="229">
        <v>788951</v>
      </c>
      <c r="AW152" s="230">
        <v>788951</v>
      </c>
      <c r="AX152" s="228">
        <v>909726</v>
      </c>
      <c r="AY152" s="229">
        <v>690034</v>
      </c>
      <c r="AZ152" s="229">
        <v>788951</v>
      </c>
      <c r="BA152" s="230">
        <v>788951</v>
      </c>
      <c r="BB152" s="228">
        <v>0</v>
      </c>
      <c r="BC152" s="229">
        <v>0</v>
      </c>
      <c r="BD152" s="229">
        <v>0</v>
      </c>
      <c r="BE152" s="230">
        <v>0</v>
      </c>
      <c r="BF152" s="215">
        <v>849435</v>
      </c>
      <c r="BG152" s="216">
        <v>849435</v>
      </c>
      <c r="BH152" s="217">
        <v>0</v>
      </c>
      <c r="BI152" s="196">
        <f t="shared" si="2"/>
        <v>0</v>
      </c>
    </row>
    <row r="153" spans="2:61">
      <c r="B153" s="195" t="s">
        <v>368</v>
      </c>
      <c r="C153" s="207">
        <v>559044</v>
      </c>
      <c r="D153" s="208">
        <v>559044</v>
      </c>
      <c r="E153" s="209">
        <v>1</v>
      </c>
      <c r="F153" s="209">
        <v>0</v>
      </c>
      <c r="G153" s="215">
        <v>559044</v>
      </c>
      <c r="H153" s="216">
        <v>559044</v>
      </c>
      <c r="I153" s="217">
        <v>0</v>
      </c>
      <c r="J153" s="215">
        <v>26707</v>
      </c>
      <c r="K153" s="216">
        <v>26707</v>
      </c>
      <c r="L153" s="216">
        <v>0</v>
      </c>
      <c r="M153" s="215">
        <v>0</v>
      </c>
      <c r="N153" s="216">
        <v>0</v>
      </c>
      <c r="O153" s="216">
        <v>0</v>
      </c>
      <c r="P153" s="215">
        <v>0</v>
      </c>
      <c r="Q153" s="216">
        <v>0</v>
      </c>
      <c r="R153" s="216">
        <v>0</v>
      </c>
      <c r="S153" s="215">
        <v>0</v>
      </c>
      <c r="T153" s="216">
        <v>0</v>
      </c>
      <c r="U153" s="216">
        <v>0</v>
      </c>
      <c r="V153" s="215">
        <v>46871</v>
      </c>
      <c r="W153" s="216">
        <v>46871</v>
      </c>
      <c r="X153" s="216">
        <v>0</v>
      </c>
      <c r="Y153" s="218">
        <v>-6250</v>
      </c>
      <c r="Z153" s="213">
        <v>-6250</v>
      </c>
      <c r="AA153" s="213">
        <v>-6250</v>
      </c>
      <c r="AB153" s="213">
        <v>-6250</v>
      </c>
      <c r="AC153" s="213">
        <v>-6250</v>
      </c>
      <c r="AD153" s="214">
        <v>-15621</v>
      </c>
      <c r="AE153" s="218">
        <v>-6250</v>
      </c>
      <c r="AF153" s="213">
        <v>-6250</v>
      </c>
      <c r="AG153" s="213">
        <v>-6250</v>
      </c>
      <c r="AH153" s="213">
        <v>-6250</v>
      </c>
      <c r="AI153" s="213">
        <v>-6250</v>
      </c>
      <c r="AJ153" s="214">
        <v>-15621</v>
      </c>
      <c r="AK153" s="218">
        <v>0</v>
      </c>
      <c r="AL153" s="213">
        <v>0</v>
      </c>
      <c r="AM153" s="213">
        <v>0</v>
      </c>
      <c r="AN153" s="213">
        <v>0</v>
      </c>
      <c r="AO153" s="213">
        <v>0</v>
      </c>
      <c r="AP153" s="214">
        <v>0</v>
      </c>
      <c r="AQ153" s="215">
        <v>21389</v>
      </c>
      <c r="AR153" s="216">
        <v>21389</v>
      </c>
      <c r="AS153" s="217">
        <v>0</v>
      </c>
      <c r="AT153" s="228">
        <v>645105</v>
      </c>
      <c r="AU153" s="229">
        <v>488415</v>
      </c>
      <c r="AV153" s="229">
        <v>559044</v>
      </c>
      <c r="AW153" s="230">
        <v>559044</v>
      </c>
      <c r="AX153" s="228">
        <v>645105</v>
      </c>
      <c r="AY153" s="229">
        <v>488415</v>
      </c>
      <c r="AZ153" s="229">
        <v>559044</v>
      </c>
      <c r="BA153" s="230">
        <v>559044</v>
      </c>
      <c r="BB153" s="228">
        <v>0</v>
      </c>
      <c r="BC153" s="229">
        <v>0</v>
      </c>
      <c r="BD153" s="229">
        <v>0</v>
      </c>
      <c r="BE153" s="230">
        <v>0</v>
      </c>
      <c r="BF153" s="215">
        <v>600358</v>
      </c>
      <c r="BG153" s="216">
        <v>600358</v>
      </c>
      <c r="BH153" s="217">
        <v>0</v>
      </c>
      <c r="BI153" s="196">
        <f t="shared" si="2"/>
        <v>0</v>
      </c>
    </row>
    <row r="154" spans="2:61">
      <c r="B154" s="195" t="s">
        <v>369</v>
      </c>
      <c r="C154" s="207">
        <v>48311290</v>
      </c>
      <c r="D154" s="208">
        <v>2661108</v>
      </c>
      <c r="E154" s="209">
        <v>5.5083E-2</v>
      </c>
      <c r="F154" s="209">
        <v>0.94491700000000001</v>
      </c>
      <c r="G154" s="215">
        <v>48311290</v>
      </c>
      <c r="H154" s="216">
        <v>2661131</v>
      </c>
      <c r="I154" s="217">
        <v>45650159</v>
      </c>
      <c r="J154" s="215">
        <v>3490474</v>
      </c>
      <c r="K154" s="216">
        <v>192266</v>
      </c>
      <c r="L154" s="216">
        <v>3298208</v>
      </c>
      <c r="M154" s="215">
        <v>0</v>
      </c>
      <c r="N154" s="216">
        <v>0</v>
      </c>
      <c r="O154" s="216">
        <v>0</v>
      </c>
      <c r="P154" s="215">
        <v>0</v>
      </c>
      <c r="Q154" s="216">
        <v>0</v>
      </c>
      <c r="R154" s="216">
        <v>0</v>
      </c>
      <c r="S154" s="215">
        <v>0</v>
      </c>
      <c r="T154" s="216">
        <v>0</v>
      </c>
      <c r="U154" s="216">
        <v>0</v>
      </c>
      <c r="V154" s="215">
        <v>4632622</v>
      </c>
      <c r="W154" s="216">
        <v>255179</v>
      </c>
      <c r="X154" s="216">
        <v>4377443</v>
      </c>
      <c r="Y154" s="218">
        <v>-772104</v>
      </c>
      <c r="Z154" s="213">
        <v>-772104</v>
      </c>
      <c r="AA154" s="213">
        <v>-772104</v>
      </c>
      <c r="AB154" s="213">
        <v>-772104</v>
      </c>
      <c r="AC154" s="213">
        <v>-772104</v>
      </c>
      <c r="AD154" s="214">
        <v>-772102</v>
      </c>
      <c r="AE154" s="218">
        <v>-42529.804631999999</v>
      </c>
      <c r="AF154" s="213">
        <v>-42529.804631999999</v>
      </c>
      <c r="AG154" s="213">
        <v>-42529.804631999999</v>
      </c>
      <c r="AH154" s="213">
        <v>-42529.804631999999</v>
      </c>
      <c r="AI154" s="213">
        <v>-42529.804631999999</v>
      </c>
      <c r="AJ154" s="214">
        <v>-42529.694466000001</v>
      </c>
      <c r="AK154" s="218">
        <v>-729574.19536799996</v>
      </c>
      <c r="AL154" s="213">
        <v>-729574.19536799996</v>
      </c>
      <c r="AM154" s="213">
        <v>-729574.19536799996</v>
      </c>
      <c r="AN154" s="213">
        <v>-729574.19536799996</v>
      </c>
      <c r="AO154" s="213">
        <v>-729574.19536799996</v>
      </c>
      <c r="AP154" s="214">
        <v>-729572.30553400004</v>
      </c>
      <c r="AQ154" s="215">
        <v>862842</v>
      </c>
      <c r="AR154" s="216">
        <v>11341</v>
      </c>
      <c r="AS154" s="217">
        <v>851501</v>
      </c>
      <c r="AT154" s="228">
        <v>57060267</v>
      </c>
      <c r="AU154" s="229">
        <v>41113415</v>
      </c>
      <c r="AV154" s="229">
        <v>39792996</v>
      </c>
      <c r="AW154" s="230">
        <v>59454032</v>
      </c>
      <c r="AX154" s="228">
        <v>3132746</v>
      </c>
      <c r="AY154" s="229">
        <v>2273742</v>
      </c>
      <c r="AZ154" s="229">
        <v>2661108</v>
      </c>
      <c r="BA154" s="230">
        <v>2661108</v>
      </c>
      <c r="BB154" s="228">
        <v>53917216.312839001</v>
      </c>
      <c r="BC154" s="229">
        <v>38848764.761555001</v>
      </c>
      <c r="BD154" s="229">
        <v>37601078.401331998</v>
      </c>
      <c r="BE154" s="230">
        <v>56179125.555344</v>
      </c>
      <c r="BF154" s="215">
        <v>50298040</v>
      </c>
      <c r="BG154" s="216">
        <v>2770567</v>
      </c>
      <c r="BH154" s="217">
        <v>47527473</v>
      </c>
      <c r="BI154" s="196">
        <f t="shared" si="2"/>
        <v>-1877314</v>
      </c>
    </row>
    <row r="155" spans="2:61">
      <c r="B155" s="195" t="s">
        <v>370</v>
      </c>
      <c r="C155" s="207">
        <v>21500214</v>
      </c>
      <c r="D155" s="208">
        <v>6129185</v>
      </c>
      <c r="E155" s="209">
        <v>0.285076</v>
      </c>
      <c r="F155" s="209">
        <v>0.714924</v>
      </c>
      <c r="G155" s="215">
        <v>21500214</v>
      </c>
      <c r="H155" s="216">
        <v>6129195</v>
      </c>
      <c r="I155" s="217">
        <v>15371019</v>
      </c>
      <c r="J155" s="215">
        <v>1205226</v>
      </c>
      <c r="K155" s="216">
        <v>343581</v>
      </c>
      <c r="L155" s="216">
        <v>861645</v>
      </c>
      <c r="M155" s="215">
        <v>0</v>
      </c>
      <c r="N155" s="216">
        <v>0</v>
      </c>
      <c r="O155" s="216">
        <v>0</v>
      </c>
      <c r="P155" s="215">
        <v>0</v>
      </c>
      <c r="Q155" s="216">
        <v>0</v>
      </c>
      <c r="R155" s="216">
        <v>0</v>
      </c>
      <c r="S155" s="215">
        <v>0</v>
      </c>
      <c r="T155" s="216">
        <v>0</v>
      </c>
      <c r="U155" s="216">
        <v>0</v>
      </c>
      <c r="V155" s="215">
        <v>1964192</v>
      </c>
      <c r="W155" s="216">
        <v>559944</v>
      </c>
      <c r="X155" s="216">
        <v>1404248</v>
      </c>
      <c r="Y155" s="218">
        <v>-215845</v>
      </c>
      <c r="Z155" s="213">
        <v>-215845</v>
      </c>
      <c r="AA155" s="213">
        <v>-215845</v>
      </c>
      <c r="AB155" s="213">
        <v>-215845</v>
      </c>
      <c r="AC155" s="213">
        <v>-215845</v>
      </c>
      <c r="AD155" s="214">
        <v>-884967</v>
      </c>
      <c r="AE155" s="218">
        <v>-61532.229220000001</v>
      </c>
      <c r="AF155" s="213">
        <v>-61532.229220000001</v>
      </c>
      <c r="AG155" s="213">
        <v>-61532.229220000001</v>
      </c>
      <c r="AH155" s="213">
        <v>-61532.229220000001</v>
      </c>
      <c r="AI155" s="213">
        <v>-61532.229220000001</v>
      </c>
      <c r="AJ155" s="214">
        <v>-252282.85249200001</v>
      </c>
      <c r="AK155" s="218">
        <v>-154312.77077999999</v>
      </c>
      <c r="AL155" s="213">
        <v>-154312.77077999999</v>
      </c>
      <c r="AM155" s="213">
        <v>-154312.77077999999</v>
      </c>
      <c r="AN155" s="213">
        <v>-154312.77077999999</v>
      </c>
      <c r="AO155" s="213">
        <v>-154312.77077999999</v>
      </c>
      <c r="AP155" s="214">
        <v>-632684.14750800002</v>
      </c>
      <c r="AQ155" s="215">
        <v>594877</v>
      </c>
      <c r="AR155" s="216">
        <v>168969</v>
      </c>
      <c r="AS155" s="217">
        <v>425908</v>
      </c>
      <c r="AT155" s="228">
        <v>25036678</v>
      </c>
      <c r="AU155" s="229">
        <v>18605895</v>
      </c>
      <c r="AV155" s="229">
        <v>21500214</v>
      </c>
      <c r="AW155" s="230">
        <v>21500214</v>
      </c>
      <c r="AX155" s="228">
        <v>7169160</v>
      </c>
      <c r="AY155" s="229">
        <v>5286124</v>
      </c>
      <c r="AZ155" s="229">
        <v>6129185</v>
      </c>
      <c r="BA155" s="230">
        <v>6129185</v>
      </c>
      <c r="BB155" s="228">
        <v>17899321.982471999</v>
      </c>
      <c r="BC155" s="229">
        <v>13301800.876979999</v>
      </c>
      <c r="BD155" s="229">
        <v>15371018.993736001</v>
      </c>
      <c r="BE155" s="230">
        <v>15371018.993736001</v>
      </c>
      <c r="BF155" s="215">
        <v>22819472</v>
      </c>
      <c r="BG155" s="216">
        <v>6505284</v>
      </c>
      <c r="BH155" s="217">
        <v>16314188</v>
      </c>
      <c r="BI155" s="196">
        <f t="shared" si="2"/>
        <v>-943169</v>
      </c>
    </row>
    <row r="156" spans="2:61">
      <c r="B156" s="195" t="s">
        <v>371</v>
      </c>
      <c r="C156" s="207">
        <v>302580</v>
      </c>
      <c r="D156" s="208">
        <v>302580</v>
      </c>
      <c r="E156" s="209">
        <v>1</v>
      </c>
      <c r="F156" s="209">
        <v>0</v>
      </c>
      <c r="G156" s="215">
        <v>302580</v>
      </c>
      <c r="H156" s="216">
        <v>302580</v>
      </c>
      <c r="I156" s="217">
        <v>0</v>
      </c>
      <c r="J156" s="215">
        <v>15526</v>
      </c>
      <c r="K156" s="216">
        <v>15526</v>
      </c>
      <c r="L156" s="216">
        <v>0</v>
      </c>
      <c r="M156" s="215">
        <v>0</v>
      </c>
      <c r="N156" s="216">
        <v>0</v>
      </c>
      <c r="O156" s="216">
        <v>0</v>
      </c>
      <c r="P156" s="215">
        <v>0</v>
      </c>
      <c r="Q156" s="216">
        <v>0</v>
      </c>
      <c r="R156" s="216">
        <v>0</v>
      </c>
      <c r="S156" s="215">
        <v>0</v>
      </c>
      <c r="T156" s="216">
        <v>0</v>
      </c>
      <c r="U156" s="216">
        <v>0</v>
      </c>
      <c r="V156" s="215">
        <v>27830</v>
      </c>
      <c r="W156" s="216">
        <v>27830</v>
      </c>
      <c r="X156" s="216">
        <v>0</v>
      </c>
      <c r="Y156" s="218">
        <v>-3394</v>
      </c>
      <c r="Z156" s="213">
        <v>-3394</v>
      </c>
      <c r="AA156" s="213">
        <v>-3394</v>
      </c>
      <c r="AB156" s="213">
        <v>-3394</v>
      </c>
      <c r="AC156" s="213">
        <v>-3394</v>
      </c>
      <c r="AD156" s="214">
        <v>-10860</v>
      </c>
      <c r="AE156" s="218">
        <v>-3394</v>
      </c>
      <c r="AF156" s="213">
        <v>-3394</v>
      </c>
      <c r="AG156" s="213">
        <v>-3394</v>
      </c>
      <c r="AH156" s="213">
        <v>-3394</v>
      </c>
      <c r="AI156" s="213">
        <v>-3394</v>
      </c>
      <c r="AJ156" s="214">
        <v>-10860</v>
      </c>
      <c r="AK156" s="218">
        <v>0</v>
      </c>
      <c r="AL156" s="213">
        <v>0</v>
      </c>
      <c r="AM156" s="213">
        <v>0</v>
      </c>
      <c r="AN156" s="213">
        <v>0</v>
      </c>
      <c r="AO156" s="213">
        <v>0</v>
      </c>
      <c r="AP156" s="214">
        <v>0</v>
      </c>
      <c r="AQ156" s="215">
        <v>9379</v>
      </c>
      <c r="AR156" s="216">
        <v>9379</v>
      </c>
      <c r="AS156" s="217">
        <v>0</v>
      </c>
      <c r="AT156" s="228">
        <v>353155</v>
      </c>
      <c r="AU156" s="229">
        <v>261210</v>
      </c>
      <c r="AV156" s="229">
        <v>302580</v>
      </c>
      <c r="AW156" s="230">
        <v>302580</v>
      </c>
      <c r="AX156" s="228">
        <v>353155</v>
      </c>
      <c r="AY156" s="229">
        <v>261210</v>
      </c>
      <c r="AZ156" s="229">
        <v>302580</v>
      </c>
      <c r="BA156" s="230">
        <v>302580</v>
      </c>
      <c r="BB156" s="228">
        <v>0</v>
      </c>
      <c r="BC156" s="229">
        <v>0</v>
      </c>
      <c r="BD156" s="229">
        <v>0</v>
      </c>
      <c r="BE156" s="230">
        <v>0</v>
      </c>
      <c r="BF156" s="215">
        <v>323584</v>
      </c>
      <c r="BG156" s="216">
        <v>323584</v>
      </c>
      <c r="BH156" s="217">
        <v>0</v>
      </c>
      <c r="BI156" s="196">
        <f t="shared" si="2"/>
        <v>0</v>
      </c>
    </row>
    <row r="157" spans="2:61">
      <c r="B157" s="195" t="s">
        <v>372</v>
      </c>
      <c r="C157" s="207">
        <v>17571915</v>
      </c>
      <c r="D157" s="208">
        <v>17571915</v>
      </c>
      <c r="E157" s="209">
        <v>1</v>
      </c>
      <c r="F157" s="209">
        <v>0</v>
      </c>
      <c r="G157" s="215">
        <v>17571915</v>
      </c>
      <c r="H157" s="216">
        <v>17571915</v>
      </c>
      <c r="I157" s="217">
        <v>0</v>
      </c>
      <c r="J157" s="215">
        <v>-481383</v>
      </c>
      <c r="K157" s="216">
        <v>-481383</v>
      </c>
      <c r="L157" s="216">
        <v>0</v>
      </c>
      <c r="M157" s="215">
        <v>0</v>
      </c>
      <c r="N157" s="216">
        <v>0</v>
      </c>
      <c r="O157" s="216">
        <v>0</v>
      </c>
      <c r="P157" s="215">
        <v>0</v>
      </c>
      <c r="Q157" s="216">
        <v>0</v>
      </c>
      <c r="R157" s="216">
        <v>0</v>
      </c>
      <c r="S157" s="215">
        <v>0</v>
      </c>
      <c r="T157" s="216">
        <v>0</v>
      </c>
      <c r="U157" s="216">
        <v>0</v>
      </c>
      <c r="V157" s="215">
        <v>0</v>
      </c>
      <c r="W157" s="216">
        <v>0</v>
      </c>
      <c r="X157" s="216">
        <v>0</v>
      </c>
      <c r="Y157" s="218">
        <v>0</v>
      </c>
      <c r="Z157" s="213">
        <v>0</v>
      </c>
      <c r="AA157" s="213">
        <v>0</v>
      </c>
      <c r="AB157" s="213">
        <v>0</v>
      </c>
      <c r="AC157" s="213">
        <v>0</v>
      </c>
      <c r="AD157" s="214">
        <v>0</v>
      </c>
      <c r="AE157" s="218">
        <v>0</v>
      </c>
      <c r="AF157" s="213">
        <v>0</v>
      </c>
      <c r="AG157" s="213">
        <v>0</v>
      </c>
      <c r="AH157" s="213">
        <v>0</v>
      </c>
      <c r="AI157" s="213">
        <v>0</v>
      </c>
      <c r="AJ157" s="214">
        <v>0</v>
      </c>
      <c r="AK157" s="218">
        <v>0</v>
      </c>
      <c r="AL157" s="213">
        <v>0</v>
      </c>
      <c r="AM157" s="213">
        <v>0</v>
      </c>
      <c r="AN157" s="213">
        <v>0</v>
      </c>
      <c r="AO157" s="213">
        <v>0</v>
      </c>
      <c r="AP157" s="214">
        <v>0</v>
      </c>
      <c r="AQ157" s="215">
        <v>1477727</v>
      </c>
      <c r="AR157" s="216">
        <v>1477727</v>
      </c>
      <c r="AS157" s="217">
        <v>0</v>
      </c>
      <c r="AT157" s="228">
        <v>19229635</v>
      </c>
      <c r="AU157" s="229">
        <v>16149760</v>
      </c>
      <c r="AV157" s="229">
        <v>17571915</v>
      </c>
      <c r="AW157" s="230">
        <v>17571915</v>
      </c>
      <c r="AX157" s="228">
        <v>19229635</v>
      </c>
      <c r="AY157" s="229">
        <v>16149760</v>
      </c>
      <c r="AZ157" s="229">
        <v>17571915</v>
      </c>
      <c r="BA157" s="230">
        <v>17571915</v>
      </c>
      <c r="BB157" s="228">
        <v>0</v>
      </c>
      <c r="BC157" s="229">
        <v>0</v>
      </c>
      <c r="BD157" s="229">
        <v>0</v>
      </c>
      <c r="BE157" s="230">
        <v>0</v>
      </c>
      <c r="BF157" s="215">
        <v>19545348</v>
      </c>
      <c r="BG157" s="216">
        <v>19545348</v>
      </c>
      <c r="BH157" s="217">
        <v>0</v>
      </c>
      <c r="BI157" s="196">
        <f t="shared" si="2"/>
        <v>0</v>
      </c>
    </row>
    <row r="158" spans="2:61">
      <c r="B158" s="195" t="s">
        <v>373</v>
      </c>
      <c r="C158" s="207">
        <v>2006396</v>
      </c>
      <c r="D158" s="208">
        <v>2006396</v>
      </c>
      <c r="E158" s="209">
        <v>1</v>
      </c>
      <c r="F158" s="209">
        <v>0</v>
      </c>
      <c r="G158" s="215">
        <v>2006396</v>
      </c>
      <c r="H158" s="216">
        <v>2006396</v>
      </c>
      <c r="I158" s="217">
        <v>0</v>
      </c>
      <c r="J158" s="215">
        <v>104622</v>
      </c>
      <c r="K158" s="216">
        <v>104622</v>
      </c>
      <c r="L158" s="216">
        <v>0</v>
      </c>
      <c r="M158" s="215">
        <v>0</v>
      </c>
      <c r="N158" s="216">
        <v>0</v>
      </c>
      <c r="O158" s="216">
        <v>0</v>
      </c>
      <c r="P158" s="215">
        <v>0</v>
      </c>
      <c r="Q158" s="216">
        <v>0</v>
      </c>
      <c r="R158" s="216">
        <v>0</v>
      </c>
      <c r="S158" s="215">
        <v>0</v>
      </c>
      <c r="T158" s="216">
        <v>0</v>
      </c>
      <c r="U158" s="216">
        <v>0</v>
      </c>
      <c r="V158" s="215">
        <v>181695</v>
      </c>
      <c r="W158" s="216">
        <v>181695</v>
      </c>
      <c r="X158" s="216">
        <v>0</v>
      </c>
      <c r="Y158" s="218">
        <v>-19750</v>
      </c>
      <c r="Z158" s="213">
        <v>-19750</v>
      </c>
      <c r="AA158" s="213">
        <v>-19750</v>
      </c>
      <c r="AB158" s="213">
        <v>-19750</v>
      </c>
      <c r="AC158" s="213">
        <v>-19750</v>
      </c>
      <c r="AD158" s="214">
        <v>-82945</v>
      </c>
      <c r="AE158" s="218">
        <v>-19750</v>
      </c>
      <c r="AF158" s="213">
        <v>-19750</v>
      </c>
      <c r="AG158" s="213">
        <v>-19750</v>
      </c>
      <c r="AH158" s="213">
        <v>-19750</v>
      </c>
      <c r="AI158" s="213">
        <v>-19750</v>
      </c>
      <c r="AJ158" s="214">
        <v>-82945</v>
      </c>
      <c r="AK158" s="218">
        <v>0</v>
      </c>
      <c r="AL158" s="213">
        <v>0</v>
      </c>
      <c r="AM158" s="213">
        <v>0</v>
      </c>
      <c r="AN158" s="213">
        <v>0</v>
      </c>
      <c r="AO158" s="213">
        <v>0</v>
      </c>
      <c r="AP158" s="214">
        <v>0</v>
      </c>
      <c r="AQ158" s="215">
        <v>67384</v>
      </c>
      <c r="AR158" s="216">
        <v>67384</v>
      </c>
      <c r="AS158" s="217">
        <v>0</v>
      </c>
      <c r="AT158" s="228">
        <v>2333211</v>
      </c>
      <c r="AU158" s="229">
        <v>1740132</v>
      </c>
      <c r="AV158" s="229">
        <v>2006396</v>
      </c>
      <c r="AW158" s="230">
        <v>2006396</v>
      </c>
      <c r="AX158" s="228">
        <v>2333211</v>
      </c>
      <c r="AY158" s="229">
        <v>1740132</v>
      </c>
      <c r="AZ158" s="229">
        <v>2006396</v>
      </c>
      <c r="BA158" s="230">
        <v>2006396</v>
      </c>
      <c r="BB158" s="228">
        <v>0</v>
      </c>
      <c r="BC158" s="229">
        <v>0</v>
      </c>
      <c r="BD158" s="229">
        <v>0</v>
      </c>
      <c r="BE158" s="230">
        <v>0</v>
      </c>
      <c r="BF158" s="215">
        <v>2149469</v>
      </c>
      <c r="BG158" s="216">
        <v>2149469</v>
      </c>
      <c r="BH158" s="217">
        <v>0</v>
      </c>
      <c r="BI158" s="196">
        <f t="shared" si="2"/>
        <v>0</v>
      </c>
    </row>
    <row r="159" spans="2:61">
      <c r="B159" s="195" t="s">
        <v>374</v>
      </c>
      <c r="C159" s="207">
        <v>475701</v>
      </c>
      <c r="D159" s="208">
        <v>475701</v>
      </c>
      <c r="E159" s="209">
        <v>1</v>
      </c>
      <c r="F159" s="209">
        <v>0</v>
      </c>
      <c r="G159" s="215">
        <v>475701</v>
      </c>
      <c r="H159" s="216">
        <v>475701</v>
      </c>
      <c r="I159" s="217">
        <v>0</v>
      </c>
      <c r="J159" s="215">
        <v>16383</v>
      </c>
      <c r="K159" s="216">
        <v>16383</v>
      </c>
      <c r="L159" s="216">
        <v>0</v>
      </c>
      <c r="M159" s="215">
        <v>0</v>
      </c>
      <c r="N159" s="216">
        <v>0</v>
      </c>
      <c r="O159" s="216">
        <v>0</v>
      </c>
      <c r="P159" s="215">
        <v>0</v>
      </c>
      <c r="Q159" s="216">
        <v>0</v>
      </c>
      <c r="R159" s="216">
        <v>0</v>
      </c>
      <c r="S159" s="215">
        <v>0</v>
      </c>
      <c r="T159" s="216">
        <v>0</v>
      </c>
      <c r="U159" s="216">
        <v>0</v>
      </c>
      <c r="V159" s="215">
        <v>34082</v>
      </c>
      <c r="W159" s="216">
        <v>34082</v>
      </c>
      <c r="X159" s="216">
        <v>0</v>
      </c>
      <c r="Y159" s="218">
        <v>-5325</v>
      </c>
      <c r="Z159" s="213">
        <v>-5325</v>
      </c>
      <c r="AA159" s="213">
        <v>-5325</v>
      </c>
      <c r="AB159" s="213">
        <v>-5325</v>
      </c>
      <c r="AC159" s="213">
        <v>-5325</v>
      </c>
      <c r="AD159" s="214">
        <v>-7457</v>
      </c>
      <c r="AE159" s="218">
        <v>-5325</v>
      </c>
      <c r="AF159" s="213">
        <v>-5325</v>
      </c>
      <c r="AG159" s="213">
        <v>-5325</v>
      </c>
      <c r="AH159" s="213">
        <v>-5325</v>
      </c>
      <c r="AI159" s="213">
        <v>-5325</v>
      </c>
      <c r="AJ159" s="214">
        <v>-7457</v>
      </c>
      <c r="AK159" s="218">
        <v>0</v>
      </c>
      <c r="AL159" s="213">
        <v>0</v>
      </c>
      <c r="AM159" s="213">
        <v>0</v>
      </c>
      <c r="AN159" s="213">
        <v>0</v>
      </c>
      <c r="AO159" s="213">
        <v>0</v>
      </c>
      <c r="AP159" s="214">
        <v>0</v>
      </c>
      <c r="AQ159" s="215">
        <v>24884</v>
      </c>
      <c r="AR159" s="216">
        <v>24884</v>
      </c>
      <c r="AS159" s="217">
        <v>0</v>
      </c>
      <c r="AT159" s="228">
        <v>539392</v>
      </c>
      <c r="AU159" s="229">
        <v>423075</v>
      </c>
      <c r="AV159" s="229">
        <v>475701</v>
      </c>
      <c r="AW159" s="230">
        <v>475701</v>
      </c>
      <c r="AX159" s="228">
        <v>539392</v>
      </c>
      <c r="AY159" s="229">
        <v>423075</v>
      </c>
      <c r="AZ159" s="229">
        <v>475701</v>
      </c>
      <c r="BA159" s="230">
        <v>475701</v>
      </c>
      <c r="BB159" s="228">
        <v>0</v>
      </c>
      <c r="BC159" s="229">
        <v>0</v>
      </c>
      <c r="BD159" s="229">
        <v>0</v>
      </c>
      <c r="BE159" s="230">
        <v>0</v>
      </c>
      <c r="BF159" s="215">
        <v>518000</v>
      </c>
      <c r="BG159" s="216">
        <v>518000</v>
      </c>
      <c r="BH159" s="217">
        <v>0</v>
      </c>
      <c r="BI159" s="196">
        <f t="shared" si="2"/>
        <v>0</v>
      </c>
    </row>
    <row r="160" spans="2:61">
      <c r="B160" s="195" t="s">
        <v>375</v>
      </c>
      <c r="C160" s="207">
        <v>4410</v>
      </c>
      <c r="D160" s="208">
        <v>4410</v>
      </c>
      <c r="E160" s="209">
        <v>1</v>
      </c>
      <c r="F160" s="209">
        <v>0</v>
      </c>
      <c r="G160" s="215">
        <v>4410</v>
      </c>
      <c r="H160" s="216">
        <v>4410</v>
      </c>
      <c r="I160" s="217">
        <v>0</v>
      </c>
      <c r="J160" s="215">
        <v>-63</v>
      </c>
      <c r="K160" s="216">
        <v>-63</v>
      </c>
      <c r="L160" s="216">
        <v>0</v>
      </c>
      <c r="M160" s="215">
        <v>0</v>
      </c>
      <c r="N160" s="216">
        <v>0</v>
      </c>
      <c r="O160" s="216">
        <v>0</v>
      </c>
      <c r="P160" s="215">
        <v>0</v>
      </c>
      <c r="Q160" s="216">
        <v>0</v>
      </c>
      <c r="R160" s="216">
        <v>0</v>
      </c>
      <c r="S160" s="215">
        <v>0</v>
      </c>
      <c r="T160" s="216">
        <v>0</v>
      </c>
      <c r="U160" s="216">
        <v>0</v>
      </c>
      <c r="V160" s="215">
        <v>0</v>
      </c>
      <c r="W160" s="216">
        <v>0</v>
      </c>
      <c r="X160" s="216">
        <v>0</v>
      </c>
      <c r="Y160" s="218">
        <v>0</v>
      </c>
      <c r="Z160" s="213">
        <v>0</v>
      </c>
      <c r="AA160" s="213">
        <v>0</v>
      </c>
      <c r="AB160" s="213">
        <v>0</v>
      </c>
      <c r="AC160" s="213">
        <v>0</v>
      </c>
      <c r="AD160" s="214">
        <v>0</v>
      </c>
      <c r="AE160" s="218">
        <v>0</v>
      </c>
      <c r="AF160" s="213">
        <v>0</v>
      </c>
      <c r="AG160" s="213">
        <v>0</v>
      </c>
      <c r="AH160" s="213">
        <v>0</v>
      </c>
      <c r="AI160" s="213">
        <v>0</v>
      </c>
      <c r="AJ160" s="214">
        <v>0</v>
      </c>
      <c r="AK160" s="218">
        <v>0</v>
      </c>
      <c r="AL160" s="213">
        <v>0</v>
      </c>
      <c r="AM160" s="213">
        <v>0</v>
      </c>
      <c r="AN160" s="213">
        <v>0</v>
      </c>
      <c r="AO160" s="213">
        <v>0</v>
      </c>
      <c r="AP160" s="214">
        <v>0</v>
      </c>
      <c r="AQ160" s="215">
        <v>444</v>
      </c>
      <c r="AR160" s="216">
        <v>444</v>
      </c>
      <c r="AS160" s="217">
        <v>0</v>
      </c>
      <c r="AT160" s="228">
        <v>4729</v>
      </c>
      <c r="AU160" s="229">
        <v>4127</v>
      </c>
      <c r="AV160" s="229">
        <v>4410</v>
      </c>
      <c r="AW160" s="230">
        <v>4410</v>
      </c>
      <c r="AX160" s="228">
        <v>4729</v>
      </c>
      <c r="AY160" s="229">
        <v>4127</v>
      </c>
      <c r="AZ160" s="229">
        <v>4410</v>
      </c>
      <c r="BA160" s="230">
        <v>4410</v>
      </c>
      <c r="BB160" s="228">
        <v>0</v>
      </c>
      <c r="BC160" s="229">
        <v>0</v>
      </c>
      <c r="BD160" s="229">
        <v>0</v>
      </c>
      <c r="BE160" s="230">
        <v>0</v>
      </c>
      <c r="BF160" s="215">
        <v>4923</v>
      </c>
      <c r="BG160" s="216">
        <v>4923</v>
      </c>
      <c r="BH160" s="217">
        <v>0</v>
      </c>
      <c r="BI160" s="196">
        <f t="shared" si="2"/>
        <v>0</v>
      </c>
    </row>
    <row r="161" spans="2:61">
      <c r="B161" s="195" t="s">
        <v>376</v>
      </c>
      <c r="C161" s="207">
        <v>0</v>
      </c>
      <c r="D161" s="208">
        <v>0</v>
      </c>
      <c r="E161" s="209">
        <v>0</v>
      </c>
      <c r="F161" s="209">
        <v>1</v>
      </c>
      <c r="G161" s="215">
        <v>0</v>
      </c>
      <c r="H161" s="216">
        <v>0</v>
      </c>
      <c r="I161" s="217">
        <v>0</v>
      </c>
      <c r="J161" s="215">
        <v>0</v>
      </c>
      <c r="K161" s="216">
        <v>0</v>
      </c>
      <c r="L161" s="216">
        <v>0</v>
      </c>
      <c r="M161" s="215">
        <v>0</v>
      </c>
      <c r="N161" s="216">
        <v>0</v>
      </c>
      <c r="O161" s="216">
        <v>0</v>
      </c>
      <c r="P161" s="215">
        <v>0</v>
      </c>
      <c r="Q161" s="216">
        <v>0</v>
      </c>
      <c r="R161" s="216">
        <v>0</v>
      </c>
      <c r="S161" s="215">
        <v>0</v>
      </c>
      <c r="T161" s="216">
        <v>0</v>
      </c>
      <c r="U161" s="216">
        <v>0</v>
      </c>
      <c r="V161" s="215">
        <v>0</v>
      </c>
      <c r="W161" s="216">
        <v>0</v>
      </c>
      <c r="X161" s="216">
        <v>0</v>
      </c>
      <c r="Y161" s="218">
        <v>0</v>
      </c>
      <c r="Z161" s="213">
        <v>0</v>
      </c>
      <c r="AA161" s="213">
        <v>0</v>
      </c>
      <c r="AB161" s="213">
        <v>0</v>
      </c>
      <c r="AC161" s="213">
        <v>0</v>
      </c>
      <c r="AD161" s="214">
        <v>0</v>
      </c>
      <c r="AE161" s="218">
        <v>0</v>
      </c>
      <c r="AF161" s="213">
        <v>0</v>
      </c>
      <c r="AG161" s="213">
        <v>0</v>
      </c>
      <c r="AH161" s="213">
        <v>0</v>
      </c>
      <c r="AI161" s="213">
        <v>0</v>
      </c>
      <c r="AJ161" s="214">
        <v>0</v>
      </c>
      <c r="AK161" s="218">
        <v>0</v>
      </c>
      <c r="AL161" s="213">
        <v>0</v>
      </c>
      <c r="AM161" s="213">
        <v>0</v>
      </c>
      <c r="AN161" s="213">
        <v>0</v>
      </c>
      <c r="AO161" s="213">
        <v>0</v>
      </c>
      <c r="AP161" s="214">
        <v>0</v>
      </c>
      <c r="AQ161" s="215">
        <v>0</v>
      </c>
      <c r="AR161" s="216">
        <v>0</v>
      </c>
      <c r="AS161" s="217">
        <v>0</v>
      </c>
      <c r="AT161" s="228">
        <v>0</v>
      </c>
      <c r="AU161" s="229">
        <v>0</v>
      </c>
      <c r="AV161" s="229">
        <v>0</v>
      </c>
      <c r="AW161" s="230">
        <v>0</v>
      </c>
      <c r="AX161" s="228">
        <v>0</v>
      </c>
      <c r="AY161" s="229">
        <v>0</v>
      </c>
      <c r="AZ161" s="229">
        <v>0</v>
      </c>
      <c r="BA161" s="230">
        <v>0</v>
      </c>
      <c r="BB161" s="228">
        <v>0</v>
      </c>
      <c r="BC161" s="229">
        <v>0</v>
      </c>
      <c r="BD161" s="229">
        <v>0</v>
      </c>
      <c r="BE161" s="230">
        <v>0</v>
      </c>
      <c r="BF161" s="215">
        <v>0</v>
      </c>
      <c r="BG161" s="216">
        <v>0</v>
      </c>
      <c r="BH161" s="217">
        <v>0</v>
      </c>
      <c r="BI161" s="196">
        <f t="shared" si="2"/>
        <v>0</v>
      </c>
    </row>
    <row r="162" spans="2:61">
      <c r="B162" s="195" t="s">
        <v>377</v>
      </c>
      <c r="C162" s="207">
        <v>255089</v>
      </c>
      <c r="D162" s="208">
        <v>255089</v>
      </c>
      <c r="E162" s="209">
        <v>1</v>
      </c>
      <c r="F162" s="209">
        <v>0</v>
      </c>
      <c r="G162" s="215">
        <v>255089</v>
      </c>
      <c r="H162" s="216">
        <v>255089</v>
      </c>
      <c r="I162" s="217">
        <v>0</v>
      </c>
      <c r="J162" s="215">
        <v>12263</v>
      </c>
      <c r="K162" s="216">
        <v>12263</v>
      </c>
      <c r="L162" s="216">
        <v>0</v>
      </c>
      <c r="M162" s="215">
        <v>0</v>
      </c>
      <c r="N162" s="216">
        <v>0</v>
      </c>
      <c r="O162" s="216">
        <v>0</v>
      </c>
      <c r="P162" s="215">
        <v>0</v>
      </c>
      <c r="Q162" s="216">
        <v>0</v>
      </c>
      <c r="R162" s="216">
        <v>0</v>
      </c>
      <c r="S162" s="215">
        <v>0</v>
      </c>
      <c r="T162" s="216">
        <v>0</v>
      </c>
      <c r="U162" s="216">
        <v>0</v>
      </c>
      <c r="V162" s="215">
        <v>21594</v>
      </c>
      <c r="W162" s="216">
        <v>21594</v>
      </c>
      <c r="X162" s="216">
        <v>0</v>
      </c>
      <c r="Y162" s="218">
        <v>-2249</v>
      </c>
      <c r="Z162" s="213">
        <v>-2249</v>
      </c>
      <c r="AA162" s="213">
        <v>-2249</v>
      </c>
      <c r="AB162" s="213">
        <v>-2249</v>
      </c>
      <c r="AC162" s="213">
        <v>-2249</v>
      </c>
      <c r="AD162" s="214">
        <v>-10349</v>
      </c>
      <c r="AE162" s="218">
        <v>-2249</v>
      </c>
      <c r="AF162" s="213">
        <v>-2249</v>
      </c>
      <c r="AG162" s="213">
        <v>-2249</v>
      </c>
      <c r="AH162" s="213">
        <v>-2249</v>
      </c>
      <c r="AI162" s="213">
        <v>-2249</v>
      </c>
      <c r="AJ162" s="214">
        <v>-10349</v>
      </c>
      <c r="AK162" s="218">
        <v>0</v>
      </c>
      <c r="AL162" s="213">
        <v>0</v>
      </c>
      <c r="AM162" s="213">
        <v>0</v>
      </c>
      <c r="AN162" s="213">
        <v>0</v>
      </c>
      <c r="AO162" s="213">
        <v>0</v>
      </c>
      <c r="AP162" s="214">
        <v>0</v>
      </c>
      <c r="AQ162" s="215">
        <v>9705</v>
      </c>
      <c r="AR162" s="216">
        <v>9705</v>
      </c>
      <c r="AS162" s="217">
        <v>0</v>
      </c>
      <c r="AT162" s="228">
        <v>293770</v>
      </c>
      <c r="AU162" s="229">
        <v>223310</v>
      </c>
      <c r="AV162" s="229">
        <v>255089</v>
      </c>
      <c r="AW162" s="230">
        <v>255089</v>
      </c>
      <c r="AX162" s="228">
        <v>293770</v>
      </c>
      <c r="AY162" s="229">
        <v>223310</v>
      </c>
      <c r="AZ162" s="229">
        <v>255089</v>
      </c>
      <c r="BA162" s="230">
        <v>255089</v>
      </c>
      <c r="BB162" s="228">
        <v>0</v>
      </c>
      <c r="BC162" s="229">
        <v>0</v>
      </c>
      <c r="BD162" s="229">
        <v>0</v>
      </c>
      <c r="BE162" s="230">
        <v>0</v>
      </c>
      <c r="BF162" s="215">
        <v>273570</v>
      </c>
      <c r="BG162" s="216">
        <v>273570</v>
      </c>
      <c r="BH162" s="217">
        <v>0</v>
      </c>
      <c r="BI162" s="196">
        <f t="shared" si="2"/>
        <v>0</v>
      </c>
    </row>
    <row r="163" spans="2:61">
      <c r="B163" s="195" t="s">
        <v>378</v>
      </c>
      <c r="C163" s="207">
        <v>1221940</v>
      </c>
      <c r="D163" s="208">
        <v>1221940</v>
      </c>
      <c r="E163" s="209">
        <v>1</v>
      </c>
      <c r="F163" s="209">
        <v>0</v>
      </c>
      <c r="G163" s="215">
        <v>1221940</v>
      </c>
      <c r="H163" s="216">
        <v>1221940</v>
      </c>
      <c r="I163" s="217">
        <v>0</v>
      </c>
      <c r="J163" s="215">
        <v>45180</v>
      </c>
      <c r="K163" s="216">
        <v>45180</v>
      </c>
      <c r="L163" s="216">
        <v>0</v>
      </c>
      <c r="M163" s="215">
        <v>0</v>
      </c>
      <c r="N163" s="216">
        <v>0</v>
      </c>
      <c r="O163" s="216">
        <v>0</v>
      </c>
      <c r="P163" s="215">
        <v>0</v>
      </c>
      <c r="Q163" s="216">
        <v>0</v>
      </c>
      <c r="R163" s="216">
        <v>0</v>
      </c>
      <c r="S163" s="215">
        <v>0</v>
      </c>
      <c r="T163" s="216">
        <v>0</v>
      </c>
      <c r="U163" s="216">
        <v>0</v>
      </c>
      <c r="V163" s="215">
        <v>85178</v>
      </c>
      <c r="W163" s="216">
        <v>85178</v>
      </c>
      <c r="X163" s="216">
        <v>0</v>
      </c>
      <c r="Y163" s="218">
        <v>-14196</v>
      </c>
      <c r="Z163" s="213">
        <v>-14196</v>
      </c>
      <c r="AA163" s="213">
        <v>-14196</v>
      </c>
      <c r="AB163" s="213">
        <v>-14196</v>
      </c>
      <c r="AC163" s="213">
        <v>-14196</v>
      </c>
      <c r="AD163" s="214">
        <v>-14198</v>
      </c>
      <c r="AE163" s="218">
        <v>-14196</v>
      </c>
      <c r="AF163" s="213">
        <v>-14196</v>
      </c>
      <c r="AG163" s="213">
        <v>-14196</v>
      </c>
      <c r="AH163" s="213">
        <v>-14196</v>
      </c>
      <c r="AI163" s="213">
        <v>-14196</v>
      </c>
      <c r="AJ163" s="214">
        <v>-14198</v>
      </c>
      <c r="AK163" s="218">
        <v>0</v>
      </c>
      <c r="AL163" s="213">
        <v>0</v>
      </c>
      <c r="AM163" s="213">
        <v>0</v>
      </c>
      <c r="AN163" s="213">
        <v>0</v>
      </c>
      <c r="AO163" s="213">
        <v>0</v>
      </c>
      <c r="AP163" s="214">
        <v>0</v>
      </c>
      <c r="AQ163" s="215">
        <v>62855</v>
      </c>
      <c r="AR163" s="216">
        <v>62855</v>
      </c>
      <c r="AS163" s="217">
        <v>0</v>
      </c>
      <c r="AT163" s="228">
        <v>1382740</v>
      </c>
      <c r="AU163" s="229">
        <v>1087838</v>
      </c>
      <c r="AV163" s="229">
        <v>1221940</v>
      </c>
      <c r="AW163" s="230">
        <v>1221940</v>
      </c>
      <c r="AX163" s="228">
        <v>1382740</v>
      </c>
      <c r="AY163" s="229">
        <v>1087838</v>
      </c>
      <c r="AZ163" s="229">
        <v>1221940</v>
      </c>
      <c r="BA163" s="230">
        <v>1221940</v>
      </c>
      <c r="BB163" s="228">
        <v>0</v>
      </c>
      <c r="BC163" s="229">
        <v>0</v>
      </c>
      <c r="BD163" s="229">
        <v>0</v>
      </c>
      <c r="BE163" s="230">
        <v>0</v>
      </c>
      <c r="BF163" s="215">
        <v>1324488</v>
      </c>
      <c r="BG163" s="216">
        <v>1324488</v>
      </c>
      <c r="BH163" s="217">
        <v>0</v>
      </c>
      <c r="BI163" s="196">
        <f t="shared" si="2"/>
        <v>0</v>
      </c>
    </row>
    <row r="164" spans="2:61">
      <c r="B164" s="195" t="s">
        <v>379</v>
      </c>
      <c r="C164" s="207">
        <v>705798</v>
      </c>
      <c r="D164" s="208">
        <v>705798</v>
      </c>
      <c r="E164" s="209">
        <v>1</v>
      </c>
      <c r="F164" s="209">
        <v>0</v>
      </c>
      <c r="G164" s="215">
        <v>705798</v>
      </c>
      <c r="H164" s="216">
        <v>705798</v>
      </c>
      <c r="I164" s="217">
        <v>0</v>
      </c>
      <c r="J164" s="215">
        <v>30523</v>
      </c>
      <c r="K164" s="216">
        <v>30523</v>
      </c>
      <c r="L164" s="216">
        <v>0</v>
      </c>
      <c r="M164" s="215">
        <v>0</v>
      </c>
      <c r="N164" s="216">
        <v>0</v>
      </c>
      <c r="O164" s="216">
        <v>0</v>
      </c>
      <c r="P164" s="215">
        <v>0</v>
      </c>
      <c r="Q164" s="216">
        <v>0</v>
      </c>
      <c r="R164" s="216">
        <v>0</v>
      </c>
      <c r="S164" s="215">
        <v>0</v>
      </c>
      <c r="T164" s="216">
        <v>0</v>
      </c>
      <c r="U164" s="216">
        <v>0</v>
      </c>
      <c r="V164" s="215">
        <v>56079</v>
      </c>
      <c r="W164" s="216">
        <v>56079</v>
      </c>
      <c r="X164" s="216">
        <v>0</v>
      </c>
      <c r="Y164" s="218">
        <v>-6757</v>
      </c>
      <c r="Z164" s="213">
        <v>-6757</v>
      </c>
      <c r="AA164" s="213">
        <v>-6757</v>
      </c>
      <c r="AB164" s="213">
        <v>-6757</v>
      </c>
      <c r="AC164" s="213">
        <v>-6757</v>
      </c>
      <c r="AD164" s="214">
        <v>-22294</v>
      </c>
      <c r="AE164" s="218">
        <v>-6757</v>
      </c>
      <c r="AF164" s="213">
        <v>-6757</v>
      </c>
      <c r="AG164" s="213">
        <v>-6757</v>
      </c>
      <c r="AH164" s="213">
        <v>-6757</v>
      </c>
      <c r="AI164" s="213">
        <v>-6757</v>
      </c>
      <c r="AJ164" s="214">
        <v>-22294</v>
      </c>
      <c r="AK164" s="218">
        <v>0</v>
      </c>
      <c r="AL164" s="213">
        <v>0</v>
      </c>
      <c r="AM164" s="213">
        <v>0</v>
      </c>
      <c r="AN164" s="213">
        <v>0</v>
      </c>
      <c r="AO164" s="213">
        <v>0</v>
      </c>
      <c r="AP164" s="214">
        <v>0</v>
      </c>
      <c r="AQ164" s="215">
        <v>32256</v>
      </c>
      <c r="AR164" s="216">
        <v>32256</v>
      </c>
      <c r="AS164" s="217">
        <v>0</v>
      </c>
      <c r="AT164" s="228">
        <v>807390</v>
      </c>
      <c r="AU164" s="229">
        <v>622254</v>
      </c>
      <c r="AV164" s="229">
        <v>705798</v>
      </c>
      <c r="AW164" s="230">
        <v>705798</v>
      </c>
      <c r="AX164" s="228">
        <v>807390</v>
      </c>
      <c r="AY164" s="229">
        <v>622254</v>
      </c>
      <c r="AZ164" s="229">
        <v>705798</v>
      </c>
      <c r="BA164" s="230">
        <v>705798</v>
      </c>
      <c r="BB164" s="228">
        <v>0</v>
      </c>
      <c r="BC164" s="229">
        <v>0</v>
      </c>
      <c r="BD164" s="229">
        <v>0</v>
      </c>
      <c r="BE164" s="230">
        <v>0</v>
      </c>
      <c r="BF164" s="215">
        <v>763004</v>
      </c>
      <c r="BG164" s="216">
        <v>763004</v>
      </c>
      <c r="BH164" s="217">
        <v>0</v>
      </c>
      <c r="BI164" s="196">
        <f t="shared" si="2"/>
        <v>0</v>
      </c>
    </row>
    <row r="165" spans="2:61">
      <c r="B165" s="195" t="s">
        <v>380</v>
      </c>
      <c r="C165" s="207">
        <v>592159</v>
      </c>
      <c r="D165" s="208">
        <v>592159</v>
      </c>
      <c r="E165" s="209">
        <v>1</v>
      </c>
      <c r="F165" s="209">
        <v>0</v>
      </c>
      <c r="G165" s="215">
        <v>592159</v>
      </c>
      <c r="H165" s="216">
        <v>592159</v>
      </c>
      <c r="I165" s="217">
        <v>0</v>
      </c>
      <c r="J165" s="215">
        <v>22966</v>
      </c>
      <c r="K165" s="216">
        <v>22966</v>
      </c>
      <c r="L165" s="216">
        <v>0</v>
      </c>
      <c r="M165" s="215">
        <v>0</v>
      </c>
      <c r="N165" s="216">
        <v>0</v>
      </c>
      <c r="O165" s="216">
        <v>0</v>
      </c>
      <c r="P165" s="215">
        <v>0</v>
      </c>
      <c r="Q165" s="216">
        <v>0</v>
      </c>
      <c r="R165" s="216">
        <v>0</v>
      </c>
      <c r="S165" s="215">
        <v>0</v>
      </c>
      <c r="T165" s="216">
        <v>0</v>
      </c>
      <c r="U165" s="216">
        <v>0</v>
      </c>
      <c r="V165" s="215">
        <v>41432</v>
      </c>
      <c r="W165" s="216">
        <v>41432</v>
      </c>
      <c r="X165" s="216">
        <v>0</v>
      </c>
      <c r="Y165" s="218">
        <v>-5179</v>
      </c>
      <c r="Z165" s="213">
        <v>-5179</v>
      </c>
      <c r="AA165" s="213">
        <v>-5179</v>
      </c>
      <c r="AB165" s="213">
        <v>-5179</v>
      </c>
      <c r="AC165" s="213">
        <v>-5179</v>
      </c>
      <c r="AD165" s="214">
        <v>-15537</v>
      </c>
      <c r="AE165" s="218">
        <v>-5179</v>
      </c>
      <c r="AF165" s="213">
        <v>-5179</v>
      </c>
      <c r="AG165" s="213">
        <v>-5179</v>
      </c>
      <c r="AH165" s="213">
        <v>-5179</v>
      </c>
      <c r="AI165" s="213">
        <v>-5179</v>
      </c>
      <c r="AJ165" s="214">
        <v>-15537</v>
      </c>
      <c r="AK165" s="218">
        <v>0</v>
      </c>
      <c r="AL165" s="213">
        <v>0</v>
      </c>
      <c r="AM165" s="213">
        <v>0</v>
      </c>
      <c r="AN165" s="213">
        <v>0</v>
      </c>
      <c r="AO165" s="213">
        <v>0</v>
      </c>
      <c r="AP165" s="214">
        <v>0</v>
      </c>
      <c r="AQ165" s="215">
        <v>34832</v>
      </c>
      <c r="AR165" s="216">
        <v>34832</v>
      </c>
      <c r="AS165" s="217">
        <v>0</v>
      </c>
      <c r="AT165" s="228">
        <v>667540</v>
      </c>
      <c r="AU165" s="229">
        <v>529460</v>
      </c>
      <c r="AV165" s="229">
        <v>592159</v>
      </c>
      <c r="AW165" s="230">
        <v>592159</v>
      </c>
      <c r="AX165" s="228">
        <v>667540</v>
      </c>
      <c r="AY165" s="229">
        <v>529460</v>
      </c>
      <c r="AZ165" s="229">
        <v>592159</v>
      </c>
      <c r="BA165" s="230">
        <v>592159</v>
      </c>
      <c r="BB165" s="228">
        <v>0</v>
      </c>
      <c r="BC165" s="229">
        <v>0</v>
      </c>
      <c r="BD165" s="229">
        <v>0</v>
      </c>
      <c r="BE165" s="230">
        <v>0</v>
      </c>
      <c r="BF165" s="215">
        <v>645125</v>
      </c>
      <c r="BG165" s="216">
        <v>645125</v>
      </c>
      <c r="BH165" s="217">
        <v>0</v>
      </c>
      <c r="BI165" s="196">
        <f t="shared" si="2"/>
        <v>0</v>
      </c>
    </row>
    <row r="166" spans="2:61">
      <c r="B166" s="195" t="s">
        <v>381</v>
      </c>
      <c r="C166" s="207">
        <v>1465053</v>
      </c>
      <c r="D166" s="208">
        <v>712974</v>
      </c>
      <c r="E166" s="209">
        <v>0.48665399999999998</v>
      </c>
      <c r="F166" s="209">
        <v>0.51334600000000008</v>
      </c>
      <c r="G166" s="215">
        <v>1465053</v>
      </c>
      <c r="H166" s="216">
        <v>712974</v>
      </c>
      <c r="I166" s="217">
        <v>752079</v>
      </c>
      <c r="J166" s="215">
        <v>84397</v>
      </c>
      <c r="K166" s="216">
        <v>41072</v>
      </c>
      <c r="L166" s="216">
        <v>43325</v>
      </c>
      <c r="M166" s="215">
        <v>0</v>
      </c>
      <c r="N166" s="216">
        <v>0</v>
      </c>
      <c r="O166" s="216">
        <v>0</v>
      </c>
      <c r="P166" s="215">
        <v>0</v>
      </c>
      <c r="Q166" s="216">
        <v>0</v>
      </c>
      <c r="R166" s="216">
        <v>0</v>
      </c>
      <c r="S166" s="215">
        <v>0</v>
      </c>
      <c r="T166" s="216">
        <v>0</v>
      </c>
      <c r="U166" s="216">
        <v>0</v>
      </c>
      <c r="V166" s="215">
        <v>138746</v>
      </c>
      <c r="W166" s="216">
        <v>67521</v>
      </c>
      <c r="X166" s="216">
        <v>71225</v>
      </c>
      <c r="Y166" s="218">
        <v>-15589</v>
      </c>
      <c r="Z166" s="213">
        <v>-15589</v>
      </c>
      <c r="AA166" s="213">
        <v>-15589</v>
      </c>
      <c r="AB166" s="213">
        <v>-15589</v>
      </c>
      <c r="AC166" s="213">
        <v>-15589</v>
      </c>
      <c r="AD166" s="214">
        <v>-60801</v>
      </c>
      <c r="AE166" s="218">
        <v>-7586.4492059999993</v>
      </c>
      <c r="AF166" s="213">
        <v>-7586.4492059999993</v>
      </c>
      <c r="AG166" s="213">
        <v>-7586.4492059999993</v>
      </c>
      <c r="AH166" s="213">
        <v>-7586.4492059999993</v>
      </c>
      <c r="AI166" s="213">
        <v>-7586.4492059999993</v>
      </c>
      <c r="AJ166" s="214">
        <v>-29589.049853999997</v>
      </c>
      <c r="AK166" s="218">
        <v>-8002.5507940000007</v>
      </c>
      <c r="AL166" s="213">
        <v>-8002.5507940000007</v>
      </c>
      <c r="AM166" s="213">
        <v>-8002.5507940000007</v>
      </c>
      <c r="AN166" s="213">
        <v>-8002.5507940000007</v>
      </c>
      <c r="AO166" s="213">
        <v>-8002.5507940000007</v>
      </c>
      <c r="AP166" s="214">
        <v>-31211.950146000003</v>
      </c>
      <c r="AQ166" s="215">
        <v>40045</v>
      </c>
      <c r="AR166" s="216">
        <v>19743</v>
      </c>
      <c r="AS166" s="217">
        <v>20302</v>
      </c>
      <c r="AT166" s="228">
        <v>1716024</v>
      </c>
      <c r="AU166" s="229">
        <v>1260790</v>
      </c>
      <c r="AV166" s="229">
        <v>1465053</v>
      </c>
      <c r="AW166" s="230">
        <v>1465053</v>
      </c>
      <c r="AX166" s="228">
        <v>837432</v>
      </c>
      <c r="AY166" s="229">
        <v>612273</v>
      </c>
      <c r="AZ166" s="229">
        <v>712974</v>
      </c>
      <c r="BA166" s="230">
        <v>712974</v>
      </c>
      <c r="BB166" s="228">
        <v>880914.05630400009</v>
      </c>
      <c r="BC166" s="229">
        <v>647221.50334000005</v>
      </c>
      <c r="BD166" s="229">
        <v>752079.09733800008</v>
      </c>
      <c r="BE166" s="230">
        <v>752079.09733800008</v>
      </c>
      <c r="BF166" s="215">
        <v>1556602</v>
      </c>
      <c r="BG166" s="216">
        <v>757527</v>
      </c>
      <c r="BH166" s="217">
        <v>799075</v>
      </c>
      <c r="BI166" s="196">
        <f t="shared" si="2"/>
        <v>-46996</v>
      </c>
    </row>
    <row r="167" spans="2:61">
      <c r="B167" s="195" t="s">
        <v>382</v>
      </c>
      <c r="C167" s="207">
        <v>257136</v>
      </c>
      <c r="D167" s="208">
        <v>257136</v>
      </c>
      <c r="E167" s="209">
        <v>1</v>
      </c>
      <c r="F167" s="209">
        <v>0</v>
      </c>
      <c r="G167" s="215">
        <v>257136</v>
      </c>
      <c r="H167" s="216">
        <v>257136</v>
      </c>
      <c r="I167" s="217">
        <v>0</v>
      </c>
      <c r="J167" s="215">
        <v>11417</v>
      </c>
      <c r="K167" s="216">
        <v>11417</v>
      </c>
      <c r="L167" s="216">
        <v>0</v>
      </c>
      <c r="M167" s="215">
        <v>0</v>
      </c>
      <c r="N167" s="216">
        <v>0</v>
      </c>
      <c r="O167" s="216">
        <v>0</v>
      </c>
      <c r="P167" s="215">
        <v>0</v>
      </c>
      <c r="Q167" s="216">
        <v>0</v>
      </c>
      <c r="R167" s="216">
        <v>0</v>
      </c>
      <c r="S167" s="215">
        <v>0</v>
      </c>
      <c r="T167" s="216">
        <v>0</v>
      </c>
      <c r="U167" s="216">
        <v>0</v>
      </c>
      <c r="V167" s="215">
        <v>22687</v>
      </c>
      <c r="W167" s="216">
        <v>22687</v>
      </c>
      <c r="X167" s="216">
        <v>0</v>
      </c>
      <c r="Y167" s="218">
        <v>-2909</v>
      </c>
      <c r="Z167" s="213">
        <v>-2909</v>
      </c>
      <c r="AA167" s="213">
        <v>-2909</v>
      </c>
      <c r="AB167" s="213">
        <v>-2909</v>
      </c>
      <c r="AC167" s="213">
        <v>-2909</v>
      </c>
      <c r="AD167" s="214">
        <v>-8142</v>
      </c>
      <c r="AE167" s="218">
        <v>-2909</v>
      </c>
      <c r="AF167" s="213">
        <v>-2909</v>
      </c>
      <c r="AG167" s="213">
        <v>-2909</v>
      </c>
      <c r="AH167" s="213">
        <v>-2909</v>
      </c>
      <c r="AI167" s="213">
        <v>-2909</v>
      </c>
      <c r="AJ167" s="214">
        <v>-8142</v>
      </c>
      <c r="AK167" s="218">
        <v>0</v>
      </c>
      <c r="AL167" s="213">
        <v>0</v>
      </c>
      <c r="AM167" s="213">
        <v>0</v>
      </c>
      <c r="AN167" s="213">
        <v>0</v>
      </c>
      <c r="AO167" s="213">
        <v>0</v>
      </c>
      <c r="AP167" s="214">
        <v>0</v>
      </c>
      <c r="AQ167" s="215">
        <v>10335</v>
      </c>
      <c r="AR167" s="216">
        <v>10335</v>
      </c>
      <c r="AS167" s="217">
        <v>0</v>
      </c>
      <c r="AT167" s="228">
        <v>298580</v>
      </c>
      <c r="AU167" s="229">
        <v>223319</v>
      </c>
      <c r="AV167" s="229">
        <v>257136</v>
      </c>
      <c r="AW167" s="230">
        <v>257136</v>
      </c>
      <c r="AX167" s="228">
        <v>298580</v>
      </c>
      <c r="AY167" s="229">
        <v>223319</v>
      </c>
      <c r="AZ167" s="229">
        <v>257136</v>
      </c>
      <c r="BA167" s="230">
        <v>257136</v>
      </c>
      <c r="BB167" s="228">
        <v>0</v>
      </c>
      <c r="BC167" s="229">
        <v>0</v>
      </c>
      <c r="BD167" s="229">
        <v>0</v>
      </c>
      <c r="BE167" s="230">
        <v>0</v>
      </c>
      <c r="BF167" s="215">
        <v>278606</v>
      </c>
      <c r="BG167" s="216">
        <v>278606</v>
      </c>
      <c r="BH167" s="217">
        <v>0</v>
      </c>
      <c r="BI167" s="196">
        <f t="shared" si="2"/>
        <v>0</v>
      </c>
    </row>
    <row r="168" spans="2:61">
      <c r="B168" s="195" t="s">
        <v>383</v>
      </c>
      <c r="C168" s="207">
        <v>288204</v>
      </c>
      <c r="D168" s="208">
        <v>288204</v>
      </c>
      <c r="E168" s="209">
        <v>1</v>
      </c>
      <c r="F168" s="209">
        <v>0</v>
      </c>
      <c r="G168" s="215">
        <v>288204</v>
      </c>
      <c r="H168" s="216">
        <v>288204</v>
      </c>
      <c r="I168" s="217">
        <v>0</v>
      </c>
      <c r="J168" s="215">
        <v>11331</v>
      </c>
      <c r="K168" s="216">
        <v>11331</v>
      </c>
      <c r="L168" s="216">
        <v>0</v>
      </c>
      <c r="M168" s="215">
        <v>0</v>
      </c>
      <c r="N168" s="216">
        <v>0</v>
      </c>
      <c r="O168" s="216">
        <v>0</v>
      </c>
      <c r="P168" s="215">
        <v>0</v>
      </c>
      <c r="Q168" s="216">
        <v>0</v>
      </c>
      <c r="R168" s="216">
        <v>0</v>
      </c>
      <c r="S168" s="215">
        <v>0</v>
      </c>
      <c r="T168" s="216">
        <v>0</v>
      </c>
      <c r="U168" s="216">
        <v>0</v>
      </c>
      <c r="V168" s="215">
        <v>21620</v>
      </c>
      <c r="W168" s="216">
        <v>21620</v>
      </c>
      <c r="X168" s="216">
        <v>0</v>
      </c>
      <c r="Y168" s="218">
        <v>-3179</v>
      </c>
      <c r="Z168" s="213">
        <v>-3179</v>
      </c>
      <c r="AA168" s="213">
        <v>-3179</v>
      </c>
      <c r="AB168" s="213">
        <v>-3179</v>
      </c>
      <c r="AC168" s="213">
        <v>-3179</v>
      </c>
      <c r="AD168" s="214">
        <v>-5725</v>
      </c>
      <c r="AE168" s="218">
        <v>-3179</v>
      </c>
      <c r="AF168" s="213">
        <v>-3179</v>
      </c>
      <c r="AG168" s="213">
        <v>-3179</v>
      </c>
      <c r="AH168" s="213">
        <v>-3179</v>
      </c>
      <c r="AI168" s="213">
        <v>-3179</v>
      </c>
      <c r="AJ168" s="214">
        <v>-5725</v>
      </c>
      <c r="AK168" s="218">
        <v>0</v>
      </c>
      <c r="AL168" s="213">
        <v>0</v>
      </c>
      <c r="AM168" s="213">
        <v>0</v>
      </c>
      <c r="AN168" s="213">
        <v>0</v>
      </c>
      <c r="AO168" s="213">
        <v>0</v>
      </c>
      <c r="AP168" s="214">
        <v>0</v>
      </c>
      <c r="AQ168" s="215">
        <v>13370</v>
      </c>
      <c r="AR168" s="216">
        <v>13370</v>
      </c>
      <c r="AS168" s="217">
        <v>0</v>
      </c>
      <c r="AT168" s="228">
        <v>328406</v>
      </c>
      <c r="AU168" s="229">
        <v>254995</v>
      </c>
      <c r="AV168" s="229">
        <v>288204</v>
      </c>
      <c r="AW168" s="230">
        <v>288204</v>
      </c>
      <c r="AX168" s="228">
        <v>328406</v>
      </c>
      <c r="AY168" s="229">
        <v>254995</v>
      </c>
      <c r="AZ168" s="229">
        <v>288204</v>
      </c>
      <c r="BA168" s="230">
        <v>288204</v>
      </c>
      <c r="BB168" s="228">
        <v>0</v>
      </c>
      <c r="BC168" s="229">
        <v>0</v>
      </c>
      <c r="BD168" s="229">
        <v>0</v>
      </c>
      <c r="BE168" s="230">
        <v>0</v>
      </c>
      <c r="BF168" s="215">
        <v>311843</v>
      </c>
      <c r="BG168" s="216">
        <v>311843</v>
      </c>
      <c r="BH168" s="217">
        <v>0</v>
      </c>
      <c r="BI168" s="196">
        <f t="shared" si="2"/>
        <v>0</v>
      </c>
    </row>
    <row r="169" spans="2:61">
      <c r="B169" s="195" t="s">
        <v>384</v>
      </c>
      <c r="C169" s="207">
        <v>1700651</v>
      </c>
      <c r="D169" s="208">
        <v>1700651</v>
      </c>
      <c r="E169" s="209">
        <v>1</v>
      </c>
      <c r="F169" s="209">
        <v>0</v>
      </c>
      <c r="G169" s="215">
        <v>1700651</v>
      </c>
      <c r="H169" s="216">
        <v>1700651</v>
      </c>
      <c r="I169" s="217">
        <v>0</v>
      </c>
      <c r="J169" s="215">
        <v>74158</v>
      </c>
      <c r="K169" s="216">
        <v>74158</v>
      </c>
      <c r="L169" s="216">
        <v>0</v>
      </c>
      <c r="M169" s="215">
        <v>0</v>
      </c>
      <c r="N169" s="216">
        <v>0</v>
      </c>
      <c r="O169" s="216">
        <v>0</v>
      </c>
      <c r="P169" s="215">
        <v>0</v>
      </c>
      <c r="Q169" s="216">
        <v>0</v>
      </c>
      <c r="R169" s="216">
        <v>0</v>
      </c>
      <c r="S169" s="215">
        <v>0</v>
      </c>
      <c r="T169" s="216">
        <v>0</v>
      </c>
      <c r="U169" s="216">
        <v>0</v>
      </c>
      <c r="V169" s="215">
        <v>135487</v>
      </c>
      <c r="W169" s="216">
        <v>135487</v>
      </c>
      <c r="X169" s="216">
        <v>0</v>
      </c>
      <c r="Y169" s="218">
        <v>-17370</v>
      </c>
      <c r="Z169" s="213">
        <v>-17370</v>
      </c>
      <c r="AA169" s="213">
        <v>-17370</v>
      </c>
      <c r="AB169" s="213">
        <v>-17370</v>
      </c>
      <c r="AC169" s="213">
        <v>-17370</v>
      </c>
      <c r="AD169" s="214">
        <v>-48637</v>
      </c>
      <c r="AE169" s="218">
        <v>-17370</v>
      </c>
      <c r="AF169" s="213">
        <v>-17370</v>
      </c>
      <c r="AG169" s="213">
        <v>-17370</v>
      </c>
      <c r="AH169" s="213">
        <v>-17370</v>
      </c>
      <c r="AI169" s="213">
        <v>-17370</v>
      </c>
      <c r="AJ169" s="214">
        <v>-48637</v>
      </c>
      <c r="AK169" s="218">
        <v>0</v>
      </c>
      <c r="AL169" s="213">
        <v>0</v>
      </c>
      <c r="AM169" s="213">
        <v>0</v>
      </c>
      <c r="AN169" s="213">
        <v>0</v>
      </c>
      <c r="AO169" s="213">
        <v>0</v>
      </c>
      <c r="AP169" s="214">
        <v>0</v>
      </c>
      <c r="AQ169" s="215">
        <v>73626</v>
      </c>
      <c r="AR169" s="216">
        <v>73626</v>
      </c>
      <c r="AS169" s="217">
        <v>0</v>
      </c>
      <c r="AT169" s="228">
        <v>1948411</v>
      </c>
      <c r="AU169" s="229">
        <v>1496474</v>
      </c>
      <c r="AV169" s="229">
        <v>1700651</v>
      </c>
      <c r="AW169" s="230">
        <v>1700651</v>
      </c>
      <c r="AX169" s="228">
        <v>1948411</v>
      </c>
      <c r="AY169" s="229">
        <v>1496474</v>
      </c>
      <c r="AZ169" s="229">
        <v>1700651</v>
      </c>
      <c r="BA169" s="230">
        <v>1700651</v>
      </c>
      <c r="BB169" s="228">
        <v>0</v>
      </c>
      <c r="BC169" s="229">
        <v>0</v>
      </c>
      <c r="BD169" s="229">
        <v>0</v>
      </c>
      <c r="BE169" s="230">
        <v>0</v>
      </c>
      <c r="BF169" s="215">
        <v>1834280</v>
      </c>
      <c r="BG169" s="216">
        <v>1834280</v>
      </c>
      <c r="BH169" s="217">
        <v>0</v>
      </c>
      <c r="BI169" s="196">
        <f t="shared" si="2"/>
        <v>0</v>
      </c>
    </row>
    <row r="170" spans="2:61">
      <c r="B170" s="195" t="s">
        <v>385</v>
      </c>
      <c r="C170" s="207">
        <v>2134383</v>
      </c>
      <c r="D170" s="208">
        <v>2134383</v>
      </c>
      <c r="E170" s="209">
        <v>1</v>
      </c>
      <c r="F170" s="209">
        <v>0</v>
      </c>
      <c r="G170" s="215">
        <v>2134383</v>
      </c>
      <c r="H170" s="216">
        <v>2134383</v>
      </c>
      <c r="I170" s="217">
        <v>0</v>
      </c>
      <c r="J170" s="215">
        <v>94508</v>
      </c>
      <c r="K170" s="216">
        <v>94508</v>
      </c>
      <c r="L170" s="216">
        <v>0</v>
      </c>
      <c r="M170" s="215">
        <v>0</v>
      </c>
      <c r="N170" s="216">
        <v>0</v>
      </c>
      <c r="O170" s="216">
        <v>0</v>
      </c>
      <c r="P170" s="215">
        <v>0</v>
      </c>
      <c r="Q170" s="216">
        <v>0</v>
      </c>
      <c r="R170" s="216">
        <v>0</v>
      </c>
      <c r="S170" s="215">
        <v>0</v>
      </c>
      <c r="T170" s="216">
        <v>0</v>
      </c>
      <c r="U170" s="216">
        <v>0</v>
      </c>
      <c r="V170" s="215">
        <v>171347</v>
      </c>
      <c r="W170" s="216">
        <v>171347</v>
      </c>
      <c r="X170" s="216">
        <v>0</v>
      </c>
      <c r="Y170" s="218">
        <v>-21154</v>
      </c>
      <c r="Z170" s="213">
        <v>-21154</v>
      </c>
      <c r="AA170" s="213">
        <v>-21154</v>
      </c>
      <c r="AB170" s="213">
        <v>-21154</v>
      </c>
      <c r="AC170" s="213">
        <v>-21154</v>
      </c>
      <c r="AD170" s="214">
        <v>-65577</v>
      </c>
      <c r="AE170" s="218">
        <v>-21154</v>
      </c>
      <c r="AF170" s="213">
        <v>-21154</v>
      </c>
      <c r="AG170" s="213">
        <v>-21154</v>
      </c>
      <c r="AH170" s="213">
        <v>-21154</v>
      </c>
      <c r="AI170" s="213">
        <v>-21154</v>
      </c>
      <c r="AJ170" s="214">
        <v>-65577</v>
      </c>
      <c r="AK170" s="218">
        <v>0</v>
      </c>
      <c r="AL170" s="213">
        <v>0</v>
      </c>
      <c r="AM170" s="213">
        <v>0</v>
      </c>
      <c r="AN170" s="213">
        <v>0</v>
      </c>
      <c r="AO170" s="213">
        <v>0</v>
      </c>
      <c r="AP170" s="214">
        <v>0</v>
      </c>
      <c r="AQ170" s="215">
        <v>88265</v>
      </c>
      <c r="AR170" s="216">
        <v>88265</v>
      </c>
      <c r="AS170" s="217">
        <v>0</v>
      </c>
      <c r="AT170" s="228">
        <v>2446156</v>
      </c>
      <c r="AU170" s="229">
        <v>1877710</v>
      </c>
      <c r="AV170" s="229">
        <v>2134383</v>
      </c>
      <c r="AW170" s="230">
        <v>2134383</v>
      </c>
      <c r="AX170" s="228">
        <v>2446156</v>
      </c>
      <c r="AY170" s="229">
        <v>1877710</v>
      </c>
      <c r="AZ170" s="229">
        <v>2134383</v>
      </c>
      <c r="BA170" s="230">
        <v>2134383</v>
      </c>
      <c r="BB170" s="228">
        <v>0</v>
      </c>
      <c r="BC170" s="229">
        <v>0</v>
      </c>
      <c r="BD170" s="229">
        <v>0</v>
      </c>
      <c r="BE170" s="230">
        <v>0</v>
      </c>
      <c r="BF170" s="215">
        <v>2296572</v>
      </c>
      <c r="BG170" s="216">
        <v>2296572</v>
      </c>
      <c r="BH170" s="217">
        <v>0</v>
      </c>
      <c r="BI170" s="196">
        <f t="shared" si="2"/>
        <v>0</v>
      </c>
    </row>
    <row r="171" spans="2:61">
      <c r="B171" s="195" t="s">
        <v>386</v>
      </c>
      <c r="C171" s="207">
        <v>786731</v>
      </c>
      <c r="D171" s="208">
        <v>786731</v>
      </c>
      <c r="E171" s="209">
        <v>1</v>
      </c>
      <c r="F171" s="209">
        <v>0</v>
      </c>
      <c r="G171" s="215">
        <v>786731</v>
      </c>
      <c r="H171" s="216">
        <v>786731</v>
      </c>
      <c r="I171" s="217">
        <v>0</v>
      </c>
      <c r="J171" s="215">
        <v>33095</v>
      </c>
      <c r="K171" s="216">
        <v>33095</v>
      </c>
      <c r="L171" s="216">
        <v>0</v>
      </c>
      <c r="M171" s="215">
        <v>0</v>
      </c>
      <c r="N171" s="216">
        <v>0</v>
      </c>
      <c r="O171" s="216">
        <v>0</v>
      </c>
      <c r="P171" s="215">
        <v>0</v>
      </c>
      <c r="Q171" s="216">
        <v>0</v>
      </c>
      <c r="R171" s="216">
        <v>0</v>
      </c>
      <c r="S171" s="215">
        <v>0</v>
      </c>
      <c r="T171" s="216">
        <v>0</v>
      </c>
      <c r="U171" s="216">
        <v>0</v>
      </c>
      <c r="V171" s="215">
        <v>64847</v>
      </c>
      <c r="W171" s="216">
        <v>64847</v>
      </c>
      <c r="X171" s="216">
        <v>0</v>
      </c>
      <c r="Y171" s="218">
        <v>-8883</v>
      </c>
      <c r="Z171" s="213">
        <v>-8883</v>
      </c>
      <c r="AA171" s="213">
        <v>-8883</v>
      </c>
      <c r="AB171" s="213">
        <v>-8883</v>
      </c>
      <c r="AC171" s="213">
        <v>-8883</v>
      </c>
      <c r="AD171" s="214">
        <v>-20432</v>
      </c>
      <c r="AE171" s="218">
        <v>-8883</v>
      </c>
      <c r="AF171" s="213">
        <v>-8883</v>
      </c>
      <c r="AG171" s="213">
        <v>-8883</v>
      </c>
      <c r="AH171" s="213">
        <v>-8883</v>
      </c>
      <c r="AI171" s="213">
        <v>-8883</v>
      </c>
      <c r="AJ171" s="214">
        <v>-20432</v>
      </c>
      <c r="AK171" s="218">
        <v>0</v>
      </c>
      <c r="AL171" s="213">
        <v>0</v>
      </c>
      <c r="AM171" s="213">
        <v>0</v>
      </c>
      <c r="AN171" s="213">
        <v>0</v>
      </c>
      <c r="AO171" s="213">
        <v>0</v>
      </c>
      <c r="AP171" s="214">
        <v>0</v>
      </c>
      <c r="AQ171" s="215">
        <v>32949</v>
      </c>
      <c r="AR171" s="216">
        <v>32949</v>
      </c>
      <c r="AS171" s="217">
        <v>0</v>
      </c>
      <c r="AT171" s="228">
        <v>906271</v>
      </c>
      <c r="AU171" s="229">
        <v>688680</v>
      </c>
      <c r="AV171" s="229">
        <v>786731</v>
      </c>
      <c r="AW171" s="230">
        <v>786731</v>
      </c>
      <c r="AX171" s="228">
        <v>906271</v>
      </c>
      <c r="AY171" s="229">
        <v>688680</v>
      </c>
      <c r="AZ171" s="229">
        <v>786731</v>
      </c>
      <c r="BA171" s="230">
        <v>786731</v>
      </c>
      <c r="BB171" s="228">
        <v>0</v>
      </c>
      <c r="BC171" s="229">
        <v>0</v>
      </c>
      <c r="BD171" s="229">
        <v>0</v>
      </c>
      <c r="BE171" s="230">
        <v>0</v>
      </c>
      <c r="BF171" s="215">
        <v>851033</v>
      </c>
      <c r="BG171" s="216">
        <v>851033</v>
      </c>
      <c r="BH171" s="217">
        <v>0</v>
      </c>
      <c r="BI171" s="196">
        <f t="shared" si="2"/>
        <v>0</v>
      </c>
    </row>
    <row r="172" spans="2:61">
      <c r="B172" s="195" t="s">
        <v>387</v>
      </c>
      <c r="C172" s="207">
        <v>1333629</v>
      </c>
      <c r="D172" s="208">
        <v>1333629</v>
      </c>
      <c r="E172" s="209">
        <v>1</v>
      </c>
      <c r="F172" s="209">
        <v>0</v>
      </c>
      <c r="G172" s="215">
        <v>1333629</v>
      </c>
      <c r="H172" s="216">
        <v>1333629</v>
      </c>
      <c r="I172" s="217">
        <v>0</v>
      </c>
      <c r="J172" s="215">
        <v>55936</v>
      </c>
      <c r="K172" s="216">
        <v>55936</v>
      </c>
      <c r="L172" s="216">
        <v>0</v>
      </c>
      <c r="M172" s="215">
        <v>0</v>
      </c>
      <c r="N172" s="216">
        <v>0</v>
      </c>
      <c r="O172" s="216">
        <v>0</v>
      </c>
      <c r="P172" s="215">
        <v>0</v>
      </c>
      <c r="Q172" s="216">
        <v>0</v>
      </c>
      <c r="R172" s="216">
        <v>0</v>
      </c>
      <c r="S172" s="215">
        <v>0</v>
      </c>
      <c r="T172" s="216">
        <v>0</v>
      </c>
      <c r="U172" s="216">
        <v>0</v>
      </c>
      <c r="V172" s="215">
        <v>102604</v>
      </c>
      <c r="W172" s="216">
        <v>102604</v>
      </c>
      <c r="X172" s="216">
        <v>0</v>
      </c>
      <c r="Y172" s="218">
        <v>-13501</v>
      </c>
      <c r="Z172" s="213">
        <v>-13501</v>
      </c>
      <c r="AA172" s="213">
        <v>-13501</v>
      </c>
      <c r="AB172" s="213">
        <v>-13501</v>
      </c>
      <c r="AC172" s="213">
        <v>-13501</v>
      </c>
      <c r="AD172" s="214">
        <v>-35099</v>
      </c>
      <c r="AE172" s="218">
        <v>-13501</v>
      </c>
      <c r="AF172" s="213">
        <v>-13501</v>
      </c>
      <c r="AG172" s="213">
        <v>-13501</v>
      </c>
      <c r="AH172" s="213">
        <v>-13501</v>
      </c>
      <c r="AI172" s="213">
        <v>-13501</v>
      </c>
      <c r="AJ172" s="214">
        <v>-35099</v>
      </c>
      <c r="AK172" s="218">
        <v>0</v>
      </c>
      <c r="AL172" s="213">
        <v>0</v>
      </c>
      <c r="AM172" s="213">
        <v>0</v>
      </c>
      <c r="AN172" s="213">
        <v>0</v>
      </c>
      <c r="AO172" s="213">
        <v>0</v>
      </c>
      <c r="AP172" s="214">
        <v>0</v>
      </c>
      <c r="AQ172" s="215">
        <v>58542</v>
      </c>
      <c r="AR172" s="216">
        <v>58542</v>
      </c>
      <c r="AS172" s="217">
        <v>0</v>
      </c>
      <c r="AT172" s="228">
        <v>1521453</v>
      </c>
      <c r="AU172" s="229">
        <v>1178217</v>
      </c>
      <c r="AV172" s="229">
        <v>1333629</v>
      </c>
      <c r="AW172" s="230">
        <v>1333629</v>
      </c>
      <c r="AX172" s="228">
        <v>1521453</v>
      </c>
      <c r="AY172" s="229">
        <v>1178217</v>
      </c>
      <c r="AZ172" s="229">
        <v>1333629</v>
      </c>
      <c r="BA172" s="230">
        <v>1333629</v>
      </c>
      <c r="BB172" s="228">
        <v>0</v>
      </c>
      <c r="BC172" s="229">
        <v>0</v>
      </c>
      <c r="BD172" s="229">
        <v>0</v>
      </c>
      <c r="BE172" s="230">
        <v>0</v>
      </c>
      <c r="BF172" s="215">
        <v>1437747</v>
      </c>
      <c r="BG172" s="216">
        <v>1437747</v>
      </c>
      <c r="BH172" s="217">
        <v>0</v>
      </c>
      <c r="BI172" s="196">
        <f t="shared" si="2"/>
        <v>0</v>
      </c>
    </row>
    <row r="173" spans="2:61">
      <c r="B173" s="195" t="s">
        <v>388</v>
      </c>
      <c r="C173" s="207">
        <v>1102414</v>
      </c>
      <c r="D173" s="208">
        <v>1102414</v>
      </c>
      <c r="E173" s="209">
        <v>1</v>
      </c>
      <c r="F173" s="209">
        <v>0</v>
      </c>
      <c r="G173" s="215">
        <v>1102414</v>
      </c>
      <c r="H173" s="216">
        <v>1102414</v>
      </c>
      <c r="I173" s="217">
        <v>0</v>
      </c>
      <c r="J173" s="215">
        <v>46937</v>
      </c>
      <c r="K173" s="216">
        <v>46937</v>
      </c>
      <c r="L173" s="216">
        <v>0</v>
      </c>
      <c r="M173" s="215">
        <v>0</v>
      </c>
      <c r="N173" s="216">
        <v>0</v>
      </c>
      <c r="O173" s="216">
        <v>0</v>
      </c>
      <c r="P173" s="215">
        <v>0</v>
      </c>
      <c r="Q173" s="216">
        <v>0</v>
      </c>
      <c r="R173" s="216">
        <v>0</v>
      </c>
      <c r="S173" s="215">
        <v>0</v>
      </c>
      <c r="T173" s="216">
        <v>0</v>
      </c>
      <c r="U173" s="216">
        <v>0</v>
      </c>
      <c r="V173" s="215">
        <v>91432</v>
      </c>
      <c r="W173" s="216">
        <v>91432</v>
      </c>
      <c r="X173" s="216">
        <v>0</v>
      </c>
      <c r="Y173" s="218">
        <v>-11288</v>
      </c>
      <c r="Z173" s="213">
        <v>-11288</v>
      </c>
      <c r="AA173" s="213">
        <v>-11288</v>
      </c>
      <c r="AB173" s="213">
        <v>-11288</v>
      </c>
      <c r="AC173" s="213">
        <v>-11288</v>
      </c>
      <c r="AD173" s="214">
        <v>-34992</v>
      </c>
      <c r="AE173" s="218">
        <v>-11288</v>
      </c>
      <c r="AF173" s="213">
        <v>-11288</v>
      </c>
      <c r="AG173" s="213">
        <v>-11288</v>
      </c>
      <c r="AH173" s="213">
        <v>-11288</v>
      </c>
      <c r="AI173" s="213">
        <v>-11288</v>
      </c>
      <c r="AJ173" s="214">
        <v>-34992</v>
      </c>
      <c r="AK173" s="218">
        <v>0</v>
      </c>
      <c r="AL173" s="213">
        <v>0</v>
      </c>
      <c r="AM173" s="213">
        <v>0</v>
      </c>
      <c r="AN173" s="213">
        <v>0</v>
      </c>
      <c r="AO173" s="213">
        <v>0</v>
      </c>
      <c r="AP173" s="214">
        <v>0</v>
      </c>
      <c r="AQ173" s="215">
        <v>46098</v>
      </c>
      <c r="AR173" s="216">
        <v>46098</v>
      </c>
      <c r="AS173" s="217">
        <v>0</v>
      </c>
      <c r="AT173" s="228">
        <v>1269059</v>
      </c>
      <c r="AU173" s="229">
        <v>966076</v>
      </c>
      <c r="AV173" s="229">
        <v>1102414</v>
      </c>
      <c r="AW173" s="230">
        <v>1102414</v>
      </c>
      <c r="AX173" s="228">
        <v>1269059</v>
      </c>
      <c r="AY173" s="229">
        <v>966076</v>
      </c>
      <c r="AZ173" s="229">
        <v>1102414</v>
      </c>
      <c r="BA173" s="230">
        <v>1102414</v>
      </c>
      <c r="BB173" s="228">
        <v>0</v>
      </c>
      <c r="BC173" s="229">
        <v>0</v>
      </c>
      <c r="BD173" s="229">
        <v>0</v>
      </c>
      <c r="BE173" s="230">
        <v>0</v>
      </c>
      <c r="BF173" s="215">
        <v>1192209</v>
      </c>
      <c r="BG173" s="216">
        <v>1192209</v>
      </c>
      <c r="BH173" s="217">
        <v>0</v>
      </c>
      <c r="BI173" s="196">
        <f t="shared" si="2"/>
        <v>0</v>
      </c>
    </row>
    <row r="174" spans="2:61">
      <c r="B174" s="195" t="s">
        <v>389</v>
      </c>
      <c r="C174" s="207">
        <v>0</v>
      </c>
      <c r="D174" s="208">
        <v>0</v>
      </c>
      <c r="E174" s="209">
        <v>0</v>
      </c>
      <c r="F174" s="209">
        <v>1</v>
      </c>
      <c r="G174" s="215">
        <v>0</v>
      </c>
      <c r="H174" s="216">
        <v>0</v>
      </c>
      <c r="I174" s="217">
        <v>0</v>
      </c>
      <c r="J174" s="215">
        <v>0</v>
      </c>
      <c r="K174" s="216">
        <v>0</v>
      </c>
      <c r="L174" s="216">
        <v>0</v>
      </c>
      <c r="M174" s="215">
        <v>0</v>
      </c>
      <c r="N174" s="216">
        <v>0</v>
      </c>
      <c r="O174" s="216">
        <v>0</v>
      </c>
      <c r="P174" s="215">
        <v>0</v>
      </c>
      <c r="Q174" s="216">
        <v>0</v>
      </c>
      <c r="R174" s="216">
        <v>0</v>
      </c>
      <c r="S174" s="215">
        <v>0</v>
      </c>
      <c r="T174" s="216">
        <v>0</v>
      </c>
      <c r="U174" s="216">
        <v>0</v>
      </c>
      <c r="V174" s="215">
        <v>0</v>
      </c>
      <c r="W174" s="216">
        <v>0</v>
      </c>
      <c r="X174" s="216">
        <v>0</v>
      </c>
      <c r="Y174" s="218">
        <v>0</v>
      </c>
      <c r="Z174" s="213">
        <v>0</v>
      </c>
      <c r="AA174" s="213">
        <v>0</v>
      </c>
      <c r="AB174" s="213">
        <v>0</v>
      </c>
      <c r="AC174" s="213">
        <v>0</v>
      </c>
      <c r="AD174" s="214">
        <v>0</v>
      </c>
      <c r="AE174" s="218">
        <v>0</v>
      </c>
      <c r="AF174" s="213">
        <v>0</v>
      </c>
      <c r="AG174" s="213">
        <v>0</v>
      </c>
      <c r="AH174" s="213">
        <v>0</v>
      </c>
      <c r="AI174" s="213">
        <v>0</v>
      </c>
      <c r="AJ174" s="214">
        <v>0</v>
      </c>
      <c r="AK174" s="218">
        <v>0</v>
      </c>
      <c r="AL174" s="213">
        <v>0</v>
      </c>
      <c r="AM174" s="213">
        <v>0</v>
      </c>
      <c r="AN174" s="213">
        <v>0</v>
      </c>
      <c r="AO174" s="213">
        <v>0</v>
      </c>
      <c r="AP174" s="214">
        <v>0</v>
      </c>
      <c r="AQ174" s="215">
        <v>0</v>
      </c>
      <c r="AR174" s="216">
        <v>0</v>
      </c>
      <c r="AS174" s="217">
        <v>0</v>
      </c>
      <c r="AT174" s="228">
        <v>0</v>
      </c>
      <c r="AU174" s="229">
        <v>0</v>
      </c>
      <c r="AV174" s="229">
        <v>0</v>
      </c>
      <c r="AW174" s="230">
        <v>0</v>
      </c>
      <c r="AX174" s="228">
        <v>0</v>
      </c>
      <c r="AY174" s="229">
        <v>0</v>
      </c>
      <c r="AZ174" s="229">
        <v>0</v>
      </c>
      <c r="BA174" s="230">
        <v>0</v>
      </c>
      <c r="BB174" s="228">
        <v>0</v>
      </c>
      <c r="BC174" s="229">
        <v>0</v>
      </c>
      <c r="BD174" s="229">
        <v>0</v>
      </c>
      <c r="BE174" s="230">
        <v>0</v>
      </c>
      <c r="BF174" s="215">
        <v>0</v>
      </c>
      <c r="BG174" s="216">
        <v>0</v>
      </c>
      <c r="BH174" s="217">
        <v>0</v>
      </c>
      <c r="BI174" s="196">
        <f t="shared" si="2"/>
        <v>0</v>
      </c>
    </row>
    <row r="175" spans="2:61">
      <c r="B175" s="195" t="s">
        <v>466</v>
      </c>
      <c r="C175" s="207">
        <v>2814177</v>
      </c>
      <c r="D175" s="208">
        <v>2814177</v>
      </c>
      <c r="E175" s="209">
        <v>1</v>
      </c>
      <c r="F175" s="209">
        <v>0</v>
      </c>
      <c r="G175" s="215">
        <v>2814177</v>
      </c>
      <c r="H175" s="216">
        <v>2814177</v>
      </c>
      <c r="I175" s="217">
        <v>0</v>
      </c>
      <c r="J175" s="215">
        <v>197153</v>
      </c>
      <c r="K175" s="216">
        <v>197153</v>
      </c>
      <c r="L175" s="216">
        <v>0</v>
      </c>
      <c r="M175" s="215">
        <v>0</v>
      </c>
      <c r="N175" s="216">
        <v>0</v>
      </c>
      <c r="O175" s="216">
        <v>0</v>
      </c>
      <c r="P175" s="215">
        <v>0</v>
      </c>
      <c r="Q175" s="216">
        <v>0</v>
      </c>
      <c r="R175" s="216">
        <v>0</v>
      </c>
      <c r="S175" s="215">
        <v>0</v>
      </c>
      <c r="T175" s="216">
        <v>0</v>
      </c>
      <c r="U175" s="216">
        <v>0</v>
      </c>
      <c r="V175" s="215">
        <v>320598</v>
      </c>
      <c r="W175" s="216">
        <v>320598</v>
      </c>
      <c r="X175" s="216">
        <v>0</v>
      </c>
      <c r="Y175" s="218">
        <v>-29685</v>
      </c>
      <c r="Z175" s="213">
        <v>-29685</v>
      </c>
      <c r="AA175" s="213">
        <v>-29685</v>
      </c>
      <c r="AB175" s="213">
        <v>-29685</v>
      </c>
      <c r="AC175" s="213">
        <v>-29685</v>
      </c>
      <c r="AD175" s="214">
        <v>-172173</v>
      </c>
      <c r="AE175" s="218">
        <v>-29685</v>
      </c>
      <c r="AF175" s="213">
        <v>-29685</v>
      </c>
      <c r="AG175" s="213">
        <v>-29685</v>
      </c>
      <c r="AH175" s="213">
        <v>-29685</v>
      </c>
      <c r="AI175" s="213">
        <v>-29685</v>
      </c>
      <c r="AJ175" s="214">
        <v>-172173</v>
      </c>
      <c r="AK175" s="218">
        <v>0</v>
      </c>
      <c r="AL175" s="213">
        <v>0</v>
      </c>
      <c r="AM175" s="213">
        <v>0</v>
      </c>
      <c r="AN175" s="213">
        <v>0</v>
      </c>
      <c r="AO175" s="213">
        <v>0</v>
      </c>
      <c r="AP175" s="214">
        <v>0</v>
      </c>
      <c r="AQ175" s="215">
        <v>7858</v>
      </c>
      <c r="AR175" s="216">
        <v>7858</v>
      </c>
      <c r="AS175" s="217">
        <v>0</v>
      </c>
      <c r="AT175" s="228">
        <v>3384726</v>
      </c>
      <c r="AU175" s="229">
        <v>2356618</v>
      </c>
      <c r="AV175" s="229">
        <v>2814177</v>
      </c>
      <c r="AW175" s="230">
        <v>2814177</v>
      </c>
      <c r="AX175" s="228">
        <v>3384726</v>
      </c>
      <c r="AY175" s="229">
        <v>2356618</v>
      </c>
      <c r="AZ175" s="229">
        <v>2814177</v>
      </c>
      <c r="BA175" s="230">
        <v>2814177</v>
      </c>
      <c r="BB175" s="228">
        <v>0</v>
      </c>
      <c r="BC175" s="229">
        <v>0</v>
      </c>
      <c r="BD175" s="229">
        <v>0</v>
      </c>
      <c r="BE175" s="230">
        <v>0</v>
      </c>
      <c r="BF175" s="215">
        <v>2937622</v>
      </c>
      <c r="BG175" s="216">
        <v>2937622</v>
      </c>
      <c r="BH175" s="217">
        <v>0</v>
      </c>
      <c r="BI175" s="196">
        <f t="shared" si="2"/>
        <v>0</v>
      </c>
    </row>
    <row r="176" spans="2:61">
      <c r="B176" s="195" t="s">
        <v>467</v>
      </c>
      <c r="C176" s="207">
        <v>66864</v>
      </c>
      <c r="D176" s="208">
        <v>66864</v>
      </c>
      <c r="E176" s="209">
        <v>1</v>
      </c>
      <c r="F176" s="209">
        <v>0</v>
      </c>
      <c r="G176" s="215">
        <v>66864</v>
      </c>
      <c r="H176" s="216">
        <v>66864</v>
      </c>
      <c r="I176" s="217">
        <v>0</v>
      </c>
      <c r="J176" s="215">
        <v>5469</v>
      </c>
      <c r="K176" s="216">
        <v>5469</v>
      </c>
      <c r="L176" s="216">
        <v>0</v>
      </c>
      <c r="M176" s="215">
        <v>0</v>
      </c>
      <c r="N176" s="216">
        <v>0</v>
      </c>
      <c r="O176" s="216">
        <v>0</v>
      </c>
      <c r="P176" s="215">
        <v>0</v>
      </c>
      <c r="Q176" s="216">
        <v>0</v>
      </c>
      <c r="R176" s="216">
        <v>0</v>
      </c>
      <c r="S176" s="215">
        <v>0</v>
      </c>
      <c r="T176" s="216">
        <v>0</v>
      </c>
      <c r="U176" s="216">
        <v>0</v>
      </c>
      <c r="V176" s="215">
        <v>8324</v>
      </c>
      <c r="W176" s="216">
        <v>8324</v>
      </c>
      <c r="X176" s="216">
        <v>0</v>
      </c>
      <c r="Y176" s="218">
        <v>-771</v>
      </c>
      <c r="Z176" s="213">
        <v>-771</v>
      </c>
      <c r="AA176" s="213">
        <v>-771</v>
      </c>
      <c r="AB176" s="213">
        <v>-771</v>
      </c>
      <c r="AC176" s="213">
        <v>-771</v>
      </c>
      <c r="AD176" s="214">
        <v>-4469</v>
      </c>
      <c r="AE176" s="218">
        <v>-771</v>
      </c>
      <c r="AF176" s="213">
        <v>-771</v>
      </c>
      <c r="AG176" s="213">
        <v>-771</v>
      </c>
      <c r="AH176" s="213">
        <v>-771</v>
      </c>
      <c r="AI176" s="213">
        <v>-771</v>
      </c>
      <c r="AJ176" s="214">
        <v>-4469</v>
      </c>
      <c r="AK176" s="218">
        <v>0</v>
      </c>
      <c r="AL176" s="213">
        <v>0</v>
      </c>
      <c r="AM176" s="213">
        <v>0</v>
      </c>
      <c r="AN176" s="213">
        <v>0</v>
      </c>
      <c r="AO176" s="213">
        <v>0</v>
      </c>
      <c r="AP176" s="214">
        <v>0</v>
      </c>
      <c r="AQ176" s="215">
        <v>0</v>
      </c>
      <c r="AR176" s="216">
        <v>0</v>
      </c>
      <c r="AS176" s="217">
        <v>0</v>
      </c>
      <c r="AT176" s="228">
        <v>81782</v>
      </c>
      <c r="AU176" s="229">
        <v>55096</v>
      </c>
      <c r="AV176" s="229">
        <v>66864</v>
      </c>
      <c r="AW176" s="230">
        <v>66864</v>
      </c>
      <c r="AX176" s="228">
        <v>81782</v>
      </c>
      <c r="AY176" s="229">
        <v>55096</v>
      </c>
      <c r="AZ176" s="229">
        <v>66864</v>
      </c>
      <c r="BA176" s="230">
        <v>66864</v>
      </c>
      <c r="BB176" s="228">
        <v>0</v>
      </c>
      <c r="BC176" s="229">
        <v>0</v>
      </c>
      <c r="BD176" s="229">
        <v>0</v>
      </c>
      <c r="BE176" s="230">
        <v>0</v>
      </c>
      <c r="BF176" s="215">
        <v>69719</v>
      </c>
      <c r="BG176" s="216">
        <v>69719</v>
      </c>
      <c r="BH176" s="217">
        <v>0</v>
      </c>
      <c r="BI176" s="196">
        <f t="shared" si="2"/>
        <v>0</v>
      </c>
    </row>
    <row r="177" spans="2:61" ht="15.75" thickBot="1">
      <c r="B177" s="219" t="s">
        <v>468</v>
      </c>
      <c r="C177" s="207">
        <v>1570711</v>
      </c>
      <c r="D177" s="208">
        <v>1570711</v>
      </c>
      <c r="E177" s="209">
        <v>1</v>
      </c>
      <c r="F177" s="209">
        <v>0</v>
      </c>
      <c r="G177" s="220">
        <v>1570711</v>
      </c>
      <c r="H177" s="221">
        <v>1570711</v>
      </c>
      <c r="I177" s="222">
        <v>0</v>
      </c>
      <c r="J177" s="220">
        <v>97113</v>
      </c>
      <c r="K177" s="221">
        <v>97113</v>
      </c>
      <c r="L177" s="221">
        <v>0</v>
      </c>
      <c r="M177" s="220">
        <v>0</v>
      </c>
      <c r="N177" s="221">
        <v>0</v>
      </c>
      <c r="O177" s="221">
        <v>0</v>
      </c>
      <c r="P177" s="220">
        <v>0</v>
      </c>
      <c r="Q177" s="221">
        <v>0</v>
      </c>
      <c r="R177" s="221">
        <v>0</v>
      </c>
      <c r="S177" s="220">
        <v>0</v>
      </c>
      <c r="T177" s="221">
        <v>0</v>
      </c>
      <c r="U177" s="221">
        <v>0</v>
      </c>
      <c r="V177" s="220">
        <v>177473</v>
      </c>
      <c r="W177" s="221">
        <v>177473</v>
      </c>
      <c r="X177" s="221">
        <v>0</v>
      </c>
      <c r="Y177" s="218">
        <v>-15846</v>
      </c>
      <c r="Z177" s="213">
        <v>-15846</v>
      </c>
      <c r="AA177" s="213">
        <v>-15846</v>
      </c>
      <c r="AB177" s="213">
        <v>-15846</v>
      </c>
      <c r="AC177" s="213">
        <v>-15846</v>
      </c>
      <c r="AD177" s="214">
        <v>-98243</v>
      </c>
      <c r="AE177" s="218">
        <v>-15846</v>
      </c>
      <c r="AF177" s="213">
        <v>-15846</v>
      </c>
      <c r="AG177" s="213">
        <v>-15846</v>
      </c>
      <c r="AH177" s="213">
        <v>-15846</v>
      </c>
      <c r="AI177" s="213">
        <v>-15846</v>
      </c>
      <c r="AJ177" s="214">
        <v>-98243</v>
      </c>
      <c r="AK177" s="218">
        <v>0</v>
      </c>
      <c r="AL177" s="213">
        <v>0</v>
      </c>
      <c r="AM177" s="213">
        <v>0</v>
      </c>
      <c r="AN177" s="213">
        <v>0</v>
      </c>
      <c r="AO177" s="213">
        <v>0</v>
      </c>
      <c r="AP177" s="214">
        <v>0</v>
      </c>
      <c r="AQ177" s="220">
        <v>4489</v>
      </c>
      <c r="AR177" s="221">
        <v>4489</v>
      </c>
      <c r="AS177" s="222">
        <v>0</v>
      </c>
      <c r="AT177" s="231">
        <v>1885185</v>
      </c>
      <c r="AU177" s="232">
        <v>1319283</v>
      </c>
      <c r="AV177" s="232">
        <v>1570711</v>
      </c>
      <c r="AW177" s="233">
        <v>1570711</v>
      </c>
      <c r="AX177" s="231">
        <v>1885185</v>
      </c>
      <c r="AY177" s="232">
        <v>1319283</v>
      </c>
      <c r="AZ177" s="232">
        <v>1570711</v>
      </c>
      <c r="BA177" s="233">
        <v>1570711</v>
      </c>
      <c r="BB177" s="231">
        <v>0</v>
      </c>
      <c r="BC177" s="232">
        <v>0</v>
      </c>
      <c r="BD177" s="232">
        <v>0</v>
      </c>
      <c r="BE177" s="233">
        <v>0</v>
      </c>
      <c r="BF177" s="220">
        <v>1651071</v>
      </c>
      <c r="BG177" s="221">
        <v>1651071</v>
      </c>
      <c r="BH177" s="222">
        <v>0</v>
      </c>
      <c r="BI177" s="196">
        <f t="shared" si="2"/>
        <v>0</v>
      </c>
    </row>
    <row r="178" spans="2:61" ht="15.75" thickBot="1">
      <c r="B178" s="223" t="s">
        <v>101</v>
      </c>
      <c r="C178" s="240">
        <f t="shared" ref="C178:BH178" si="3">SUM(C5:C177)</f>
        <v>397450684</v>
      </c>
      <c r="D178" s="241">
        <f t="shared" si="3"/>
        <v>215044006</v>
      </c>
      <c r="E178" s="242">
        <v>0.54105800000000004</v>
      </c>
      <c r="F178" s="242">
        <v>0.45894199999999996</v>
      </c>
      <c r="G178" s="243">
        <f t="shared" si="3"/>
        <v>397450684</v>
      </c>
      <c r="H178" s="244">
        <f t="shared" si="3"/>
        <v>215044051</v>
      </c>
      <c r="I178" s="245">
        <f t="shared" si="3"/>
        <v>182406633</v>
      </c>
      <c r="J178" s="243">
        <f t="shared" si="3"/>
        <v>25045187</v>
      </c>
      <c r="K178" s="244">
        <f t="shared" si="3"/>
        <v>9948291</v>
      </c>
      <c r="L178" s="244">
        <f t="shared" si="3"/>
        <v>15096896</v>
      </c>
      <c r="M178" s="243">
        <f t="shared" si="3"/>
        <v>0</v>
      </c>
      <c r="N178" s="244">
        <f t="shared" si="3"/>
        <v>0</v>
      </c>
      <c r="O178" s="245">
        <f t="shared" si="3"/>
        <v>0</v>
      </c>
      <c r="P178" s="243">
        <f t="shared" si="3"/>
        <v>0</v>
      </c>
      <c r="Q178" s="244">
        <f t="shared" si="3"/>
        <v>0</v>
      </c>
      <c r="R178" s="245">
        <f t="shared" si="3"/>
        <v>0</v>
      </c>
      <c r="S178" s="243">
        <f t="shared" si="3"/>
        <v>0</v>
      </c>
      <c r="T178" s="244">
        <f t="shared" si="3"/>
        <v>0</v>
      </c>
      <c r="U178" s="245">
        <f t="shared" si="3"/>
        <v>0</v>
      </c>
      <c r="V178" s="243">
        <f t="shared" si="3"/>
        <v>35961157</v>
      </c>
      <c r="W178" s="244">
        <f t="shared" si="3"/>
        <v>17963025</v>
      </c>
      <c r="X178" s="245">
        <f t="shared" si="3"/>
        <v>17998132</v>
      </c>
      <c r="Y178" s="243">
        <f t="shared" si="3"/>
        <v>-4561075</v>
      </c>
      <c r="Z178" s="244">
        <f t="shared" si="3"/>
        <v>-4561075</v>
      </c>
      <c r="AA178" s="244">
        <f t="shared" si="3"/>
        <v>-4561045</v>
      </c>
      <c r="AB178" s="244">
        <f t="shared" si="3"/>
        <v>-4561043</v>
      </c>
      <c r="AC178" s="244">
        <f t="shared" si="3"/>
        <v>-4561043</v>
      </c>
      <c r="AD178" s="245">
        <f t="shared" si="3"/>
        <v>-13155876</v>
      </c>
      <c r="AE178" s="243">
        <f t="shared" si="3"/>
        <v>-2072868.7663039998</v>
      </c>
      <c r="AF178" s="244">
        <f t="shared" si="3"/>
        <v>-2072868.7663039998</v>
      </c>
      <c r="AG178" s="244">
        <f t="shared" si="3"/>
        <v>-2072838.7663039998</v>
      </c>
      <c r="AH178" s="244">
        <f t="shared" si="3"/>
        <v>-2072836.7663039998</v>
      </c>
      <c r="AI178" s="244">
        <f t="shared" si="3"/>
        <v>-2072836.7663039998</v>
      </c>
      <c r="AJ178" s="245">
        <f t="shared" si="3"/>
        <v>-7598774.1065439992</v>
      </c>
      <c r="AK178" s="243">
        <f t="shared" si="3"/>
        <v>-2488206.2336959997</v>
      </c>
      <c r="AL178" s="244">
        <f t="shared" si="3"/>
        <v>-2488206.2336959997</v>
      </c>
      <c r="AM178" s="244">
        <f t="shared" si="3"/>
        <v>-2488206.2336959997</v>
      </c>
      <c r="AN178" s="244">
        <f t="shared" si="3"/>
        <v>-2488206.2336959997</v>
      </c>
      <c r="AO178" s="244">
        <f t="shared" si="3"/>
        <v>-2488206.2336959997</v>
      </c>
      <c r="AP178" s="245">
        <f t="shared" si="3"/>
        <v>-5557101.8934559999</v>
      </c>
      <c r="AQ178" s="246">
        <f t="shared" si="3"/>
        <v>10384065</v>
      </c>
      <c r="AR178" s="247">
        <f t="shared" si="3"/>
        <v>7353496</v>
      </c>
      <c r="AS178" s="248">
        <f t="shared" si="3"/>
        <v>3030569</v>
      </c>
      <c r="AT178" s="249">
        <f t="shared" si="3"/>
        <v>464785339</v>
      </c>
      <c r="AU178" s="250">
        <f t="shared" si="3"/>
        <v>342215142</v>
      </c>
      <c r="AV178" s="250">
        <f t="shared" si="3"/>
        <v>367986942</v>
      </c>
      <c r="AW178" s="251">
        <f t="shared" si="3"/>
        <v>436597454</v>
      </c>
      <c r="AX178" s="249">
        <f t="shared" si="3"/>
        <v>248782671</v>
      </c>
      <c r="AY178" s="250">
        <f t="shared" si="3"/>
        <v>187450861</v>
      </c>
      <c r="AZ178" s="250">
        <f t="shared" si="3"/>
        <v>215044018</v>
      </c>
      <c r="BA178" s="251">
        <f t="shared" si="3"/>
        <v>215044018</v>
      </c>
      <c r="BB178" s="249">
        <f t="shared" si="3"/>
        <v>215571027.42605701</v>
      </c>
      <c r="BC178" s="250">
        <f t="shared" si="3"/>
        <v>155126046.36012602</v>
      </c>
      <c r="BD178" s="250">
        <f t="shared" si="3"/>
        <v>155485478.53588498</v>
      </c>
      <c r="BE178" s="251">
        <f t="shared" si="3"/>
        <v>218167260.57490194</v>
      </c>
      <c r="BF178" s="243">
        <f t="shared" si="3"/>
        <v>418356791</v>
      </c>
      <c r="BG178" s="244">
        <f t="shared" si="3"/>
        <v>229857325</v>
      </c>
      <c r="BH178" s="245">
        <f t="shared" si="3"/>
        <v>188499466</v>
      </c>
    </row>
    <row r="179" spans="2:61">
      <c r="C179" s="224"/>
    </row>
    <row r="183" spans="2:61">
      <c r="AT183" s="196"/>
      <c r="AU183" s="196"/>
      <c r="AV183" s="196"/>
      <c r="AW183" s="196"/>
      <c r="AX183" s="196"/>
      <c r="AY183" s="196"/>
      <c r="AZ183" s="196"/>
      <c r="BA183" s="196"/>
      <c r="BB183" s="196"/>
      <c r="BC183" s="196"/>
      <c r="BD183" s="196"/>
      <c r="BE183" s="196"/>
    </row>
    <row r="185" spans="2:61">
      <c r="AT185" s="197"/>
      <c r="AU185" s="197"/>
      <c r="AV185" s="197"/>
      <c r="AW185" s="197"/>
      <c r="AX185" s="197"/>
      <c r="AY185" s="197"/>
      <c r="AZ185" s="197"/>
      <c r="BA185" s="197"/>
      <c r="BB185" s="197"/>
      <c r="BC185" s="197"/>
      <c r="BD185" s="197"/>
      <c r="BE185" s="197"/>
    </row>
  </sheetData>
  <mergeCells count="14">
    <mergeCell ref="BF3:BH3"/>
    <mergeCell ref="AK3:AP3"/>
    <mergeCell ref="AQ3:AS3"/>
    <mergeCell ref="AT3:AW3"/>
    <mergeCell ref="AX3:BA3"/>
    <mergeCell ref="BB3:BE3"/>
    <mergeCell ref="V3:X3"/>
    <mergeCell ref="Y3:AD3"/>
    <mergeCell ref="AE3:AJ3"/>
    <mergeCell ref="G3:I3"/>
    <mergeCell ref="J3:L3"/>
    <mergeCell ref="M3:O3"/>
    <mergeCell ref="P3:R3"/>
    <mergeCell ref="S3:U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Journal Entries TGOP</vt:lpstr>
      <vt:lpstr>Journal Entries TNP</vt:lpstr>
      <vt:lpstr>75 TGOP - LEA in SFS</vt:lpstr>
      <vt:lpstr>75 TN Plan LEA with Prop Sha</vt:lpstr>
      <vt:lpstr>75 TN Plan LEA with 0% Prop Sha</vt:lpstr>
      <vt:lpstr>LEA Pre-65 (1)</vt:lpstr>
      <vt:lpstr>LEA Pre-65 (2)</vt:lpstr>
      <vt:lpstr>LEA Post-65 (1)</vt:lpstr>
      <vt:lpstr>LEA Post-65 (2)</vt:lpstr>
    </vt:vector>
  </TitlesOfParts>
  <Company>State of Tennessee: Finance &amp; Administration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Ike Boone</dc:creator>
  <cp:lastModifiedBy>Ike Boone</cp:lastModifiedBy>
  <dcterms:created xsi:type="dcterms:W3CDTF">2018-08-27T18:02:31Z</dcterms:created>
  <dcterms:modified xsi:type="dcterms:W3CDTF">2018-10-05T21:52:52Z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