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90" windowWidth="22515" windowHeight="8700" tabRatio="745"/>
  </bookViews>
  <sheets>
    <sheet name="Journal Entries LG" sheetId="3" r:id="rId1"/>
    <sheet name="Journal Entries TN" sheetId="4" r:id="rId2"/>
    <sheet name="75 LGOP Disclosures" sheetId="1" r:id="rId3"/>
    <sheet name="75 TN Plan Disclosures" sheetId="2" r:id="rId4"/>
    <sheet name="LGOP Results" sheetId="5" r:id="rId5"/>
    <sheet name="TNP Results" sheetId="6" r:id="rId6"/>
  </sheets>
  <calcPr calcId="145621"/>
</workbook>
</file>

<file path=xl/calcChain.xml><?xml version="1.0" encoding="utf-8"?>
<calcChain xmlns="http://schemas.openxmlformats.org/spreadsheetml/2006/main">
  <c r="J49" i="6" l="1"/>
  <c r="E166" i="2"/>
  <c r="E164" i="2"/>
  <c r="E163" i="2"/>
  <c r="E162" i="2"/>
  <c r="E161" i="2"/>
  <c r="E160" i="2"/>
  <c r="E159" i="2"/>
  <c r="F147" i="2"/>
  <c r="F146" i="2"/>
  <c r="F145" i="2"/>
  <c r="F144" i="2"/>
  <c r="F143" i="2"/>
  <c r="F142" i="2"/>
  <c r="I131" i="2"/>
  <c r="I130" i="2"/>
  <c r="G132" i="2"/>
  <c r="G131" i="2"/>
  <c r="G130" i="2"/>
  <c r="D123" i="2"/>
  <c r="E111" i="2"/>
  <c r="I111" i="2"/>
  <c r="G111" i="2"/>
  <c r="D97" i="2"/>
  <c r="F92" i="2"/>
  <c r="F91" i="2"/>
  <c r="F90" i="2"/>
  <c r="F89" i="2"/>
  <c r="F88" i="2"/>
  <c r="F87" i="2"/>
  <c r="F85" i="2"/>
  <c r="D65" i="1"/>
  <c r="D65" i="2"/>
  <c r="G59" i="2"/>
  <c r="G57" i="2"/>
  <c r="G55" i="2"/>
  <c r="I66" i="4"/>
  <c r="AH5" i="6"/>
  <c r="AH6" i="6"/>
  <c r="AH7" i="6"/>
  <c r="AH8" i="6"/>
  <c r="AH9" i="6"/>
  <c r="AH10"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40" i="6"/>
  <c r="AH41" i="6"/>
  <c r="AH42" i="6"/>
  <c r="AH43" i="6"/>
  <c r="AH44" i="6"/>
  <c r="AH45" i="6"/>
  <c r="AH46" i="6"/>
  <c r="AH47" i="6"/>
  <c r="AH48" i="6"/>
  <c r="AH4" i="6"/>
  <c r="I63" i="4"/>
  <c r="F58" i="4"/>
  <c r="I54" i="4"/>
  <c r="F47" i="4"/>
  <c r="I42" i="4"/>
  <c r="F36" i="4"/>
  <c r="I32" i="4"/>
  <c r="F26" i="4"/>
  <c r="F21" i="4"/>
  <c r="I16" i="4"/>
  <c r="E167" i="1" l="1"/>
  <c r="E165" i="1"/>
  <c r="E164" i="1"/>
  <c r="E163" i="1"/>
  <c r="E162" i="1"/>
  <c r="E161" i="1"/>
  <c r="E160" i="1"/>
  <c r="F148" i="1"/>
  <c r="F147" i="1"/>
  <c r="F146" i="1"/>
  <c r="F145" i="1"/>
  <c r="F144" i="1"/>
  <c r="I132" i="1"/>
  <c r="I131" i="1"/>
  <c r="G133" i="1"/>
  <c r="G132" i="1"/>
  <c r="G131" i="1"/>
  <c r="D124" i="1"/>
  <c r="I117" i="1"/>
  <c r="E117" i="1"/>
  <c r="G117" i="1"/>
  <c r="I112" i="1"/>
  <c r="E112" i="1"/>
  <c r="G112" i="1"/>
  <c r="D98" i="1"/>
  <c r="F93" i="1"/>
  <c r="F92" i="1"/>
  <c r="F91" i="1"/>
  <c r="F90" i="1"/>
  <c r="F89" i="1"/>
  <c r="F88" i="1"/>
  <c r="F86" i="1"/>
  <c r="G59" i="1"/>
  <c r="G57" i="1"/>
  <c r="G55" i="1"/>
  <c r="F143" i="1"/>
  <c r="AI5" i="5"/>
  <c r="AI6" i="5"/>
  <c r="AI7" i="5"/>
  <c r="AI8" i="5"/>
  <c r="AI9" i="5"/>
  <c r="AI10" i="5"/>
  <c r="AI11" i="5"/>
  <c r="AI12" i="5"/>
  <c r="AI13" i="5"/>
  <c r="AI14" i="5"/>
  <c r="AI15" i="5"/>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5" i="5"/>
  <c r="AI56" i="5"/>
  <c r="AI57" i="5"/>
  <c r="AI58" i="5"/>
  <c r="AI59" i="5"/>
  <c r="AI60" i="5"/>
  <c r="AI61" i="5"/>
  <c r="AI62" i="5"/>
  <c r="AI63" i="5"/>
  <c r="AI64" i="5"/>
  <c r="AI65" i="5"/>
  <c r="AI66" i="5"/>
  <c r="AI67" i="5"/>
  <c r="AI68" i="5"/>
  <c r="AI69" i="5"/>
  <c r="AI70" i="5"/>
  <c r="AI71" i="5"/>
  <c r="AI72" i="5"/>
  <c r="AI73" i="5"/>
  <c r="AI74" i="5"/>
  <c r="AI75" i="5"/>
  <c r="AI76" i="5"/>
  <c r="AI77" i="5"/>
  <c r="AI78" i="5"/>
  <c r="AI79" i="5"/>
  <c r="AI80" i="5"/>
  <c r="AI81" i="5"/>
  <c r="AI82" i="5"/>
  <c r="AI83" i="5"/>
  <c r="AI84" i="5"/>
  <c r="AI85" i="5"/>
  <c r="AI86" i="5"/>
  <c r="AI87" i="5"/>
  <c r="AI88" i="5"/>
  <c r="AI89" i="5"/>
  <c r="AI90" i="5"/>
  <c r="AI91" i="5"/>
  <c r="AI92" i="5"/>
  <c r="AI93" i="5"/>
  <c r="AI94" i="5"/>
  <c r="AI95" i="5"/>
  <c r="AI96" i="5"/>
  <c r="AI97" i="5"/>
  <c r="AI98" i="5"/>
  <c r="AI99" i="5"/>
  <c r="AI100" i="5"/>
  <c r="AI101" i="5"/>
  <c r="AI102" i="5"/>
  <c r="AI103" i="5"/>
  <c r="AI104" i="5"/>
  <c r="AI105" i="5"/>
  <c r="AI106" i="5"/>
  <c r="AI107" i="5"/>
  <c r="AI108" i="5"/>
  <c r="AI109" i="5"/>
  <c r="AI110" i="5"/>
  <c r="AI111" i="5"/>
  <c r="AI112" i="5"/>
  <c r="AI113" i="5"/>
  <c r="AI114" i="5"/>
  <c r="AI115" i="5"/>
  <c r="AI116" i="5"/>
  <c r="AI117" i="5"/>
  <c r="AI118" i="5"/>
  <c r="AI119" i="5"/>
  <c r="AI120" i="5"/>
  <c r="AI121" i="5"/>
  <c r="AI122" i="5"/>
  <c r="AI123" i="5"/>
  <c r="AI124" i="5"/>
  <c r="AI125" i="5"/>
  <c r="AI126" i="5"/>
  <c r="AI127" i="5"/>
  <c r="AI128" i="5"/>
  <c r="AI129" i="5"/>
  <c r="AI130" i="5"/>
  <c r="AI131" i="5"/>
  <c r="AI132" i="5"/>
  <c r="AI133" i="5"/>
  <c r="AI134" i="5"/>
  <c r="AI135" i="5"/>
  <c r="AI136" i="5"/>
  <c r="AI137" i="5"/>
  <c r="AI138" i="5"/>
  <c r="AI139" i="5"/>
  <c r="AI140" i="5"/>
  <c r="AI141" i="5"/>
  <c r="AI142" i="5"/>
  <c r="AI143" i="5"/>
  <c r="AI144" i="5"/>
  <c r="AI145" i="5"/>
  <c r="AI146" i="5"/>
  <c r="AI147" i="5"/>
  <c r="AI148" i="5"/>
  <c r="AI149" i="5"/>
  <c r="AI150" i="5"/>
  <c r="AI151" i="5"/>
  <c r="AI152" i="5"/>
  <c r="AI153" i="5"/>
  <c r="AI154" i="5"/>
  <c r="AI155" i="5"/>
  <c r="AI156" i="5"/>
  <c r="AI157" i="5"/>
  <c r="AI158" i="5"/>
  <c r="AI159" i="5"/>
  <c r="AI160" i="5"/>
  <c r="AI161" i="5"/>
  <c r="AI162" i="5"/>
  <c r="AI163" i="5"/>
  <c r="AI164" i="5"/>
  <c r="AI165" i="5"/>
  <c r="AI166" i="5"/>
  <c r="AI167" i="5"/>
  <c r="AI168" i="5"/>
  <c r="AI169" i="5"/>
  <c r="AI170" i="5"/>
  <c r="AI171" i="5"/>
  <c r="AI172" i="5"/>
  <c r="AI173" i="5"/>
  <c r="AI174" i="5"/>
  <c r="AI175" i="5"/>
  <c r="AI176" i="5"/>
  <c r="AI177" i="5"/>
  <c r="AI178" i="5"/>
  <c r="AI179" i="5"/>
  <c r="AI180" i="5"/>
  <c r="AI181" i="5"/>
  <c r="AI182" i="5"/>
  <c r="AI183" i="5"/>
  <c r="AI184" i="5"/>
  <c r="AI185" i="5"/>
  <c r="AI186" i="5"/>
  <c r="AI187" i="5"/>
  <c r="AI188" i="5"/>
  <c r="AI189" i="5"/>
  <c r="AI190" i="5"/>
  <c r="AI191" i="5"/>
  <c r="AI192" i="5"/>
  <c r="AI193" i="5"/>
  <c r="AI194" i="5"/>
  <c r="AI195" i="5"/>
  <c r="AI196" i="5"/>
  <c r="AI197" i="5"/>
  <c r="AI198" i="5"/>
  <c r="AI199" i="5"/>
  <c r="AI200" i="5"/>
  <c r="AI201" i="5"/>
  <c r="AI202" i="5"/>
  <c r="AI203" i="5"/>
  <c r="AI204" i="5"/>
  <c r="AI205" i="5"/>
  <c r="AI206" i="5"/>
  <c r="AI207" i="5"/>
  <c r="AI208" i="5"/>
  <c r="AI209" i="5"/>
  <c r="AI210" i="5"/>
  <c r="AI211" i="5"/>
  <c r="AI212" i="5"/>
  <c r="AI213" i="5"/>
  <c r="AI214" i="5"/>
  <c r="AI215" i="5"/>
  <c r="AI216" i="5"/>
  <c r="AI217" i="5"/>
  <c r="AI218" i="5"/>
  <c r="AI219" i="5"/>
  <c r="AI220" i="5"/>
  <c r="AI221" i="5"/>
  <c r="AI222" i="5"/>
  <c r="AI223" i="5"/>
  <c r="AI224" i="5"/>
  <c r="AI225" i="5"/>
  <c r="AI226" i="5"/>
  <c r="AI227" i="5"/>
  <c r="AI228" i="5"/>
  <c r="AI229" i="5"/>
  <c r="AI230" i="5"/>
  <c r="AI231" i="5"/>
  <c r="AI232" i="5"/>
  <c r="AI233" i="5"/>
  <c r="AI234" i="5"/>
  <c r="AI235" i="5"/>
  <c r="AI236" i="5"/>
  <c r="AI237" i="5"/>
  <c r="AI238" i="5"/>
  <c r="AI239" i="5"/>
  <c r="AI240" i="5"/>
  <c r="AI241" i="5"/>
  <c r="AI242" i="5"/>
  <c r="AI243" i="5"/>
  <c r="AI244" i="5"/>
  <c r="AI245" i="5"/>
  <c r="AI246" i="5"/>
  <c r="AI247" i="5"/>
  <c r="AI248" i="5"/>
  <c r="AI249" i="5"/>
  <c r="AI250" i="5"/>
  <c r="AI251" i="5"/>
  <c r="AI252" i="5"/>
  <c r="AI253" i="5"/>
  <c r="AI254" i="5"/>
  <c r="AI255" i="5"/>
  <c r="AI256" i="5"/>
  <c r="AI257" i="5"/>
  <c r="AI258" i="5"/>
  <c r="AI259" i="5"/>
  <c r="AI260" i="5"/>
  <c r="AI261" i="5"/>
  <c r="AI262" i="5"/>
  <c r="AI263" i="5"/>
  <c r="AI264" i="5"/>
  <c r="AI265" i="5"/>
  <c r="AI266" i="5"/>
  <c r="AI267" i="5"/>
  <c r="AI268" i="5"/>
  <c r="AI269" i="5"/>
  <c r="AI270" i="5"/>
  <c r="AI271" i="5"/>
  <c r="AI272" i="5"/>
  <c r="AI273" i="5"/>
  <c r="AI274" i="5"/>
  <c r="AI275" i="5"/>
  <c r="AI276" i="5"/>
  <c r="AI277" i="5"/>
  <c r="AI278" i="5"/>
  <c r="AI279" i="5"/>
  <c r="AI280" i="5"/>
  <c r="AI281" i="5"/>
  <c r="AI282" i="5"/>
  <c r="AI283" i="5"/>
  <c r="AI284" i="5"/>
  <c r="AI285" i="5"/>
  <c r="AI286" i="5"/>
  <c r="AI287" i="5"/>
  <c r="AI288" i="5"/>
  <c r="AI289" i="5"/>
  <c r="AI290" i="5"/>
  <c r="AI291" i="5"/>
  <c r="AI292" i="5"/>
  <c r="AI293" i="5"/>
  <c r="AI294" i="5"/>
  <c r="AI295" i="5"/>
  <c r="AI296" i="5"/>
  <c r="AI297" i="5"/>
  <c r="AI298" i="5"/>
  <c r="AI299" i="5"/>
  <c r="AI300" i="5"/>
  <c r="AI301" i="5"/>
  <c r="AI302" i="5"/>
  <c r="AI303" i="5"/>
  <c r="AI304" i="5"/>
  <c r="AI305" i="5"/>
  <c r="AI306" i="5"/>
  <c r="AI307" i="5"/>
  <c r="AI308" i="5"/>
  <c r="AI309" i="5"/>
  <c r="AI310" i="5"/>
  <c r="AI311" i="5"/>
  <c r="AI312" i="5"/>
  <c r="AI313" i="5"/>
  <c r="AI314" i="5"/>
  <c r="AI315" i="5"/>
  <c r="AI316" i="5"/>
  <c r="AI317" i="5"/>
  <c r="AI318" i="5"/>
  <c r="AI319" i="5"/>
  <c r="AI320" i="5"/>
  <c r="AI321" i="5"/>
  <c r="AI322" i="5"/>
  <c r="AI323" i="5"/>
  <c r="AI324" i="5"/>
  <c r="AI325" i="5"/>
  <c r="AI326" i="5"/>
  <c r="AI327" i="5"/>
  <c r="AI328" i="5"/>
  <c r="AI329" i="5"/>
  <c r="AI330" i="5"/>
  <c r="AI331" i="5"/>
  <c r="AI332" i="5"/>
  <c r="AI333" i="5"/>
  <c r="AI334" i="5"/>
  <c r="AI335" i="5"/>
  <c r="AI336" i="5"/>
  <c r="AI337" i="5"/>
  <c r="AI338" i="5"/>
  <c r="AI339" i="5"/>
  <c r="AI340" i="5"/>
  <c r="AI341" i="5"/>
  <c r="AI342" i="5"/>
  <c r="AI343" i="5"/>
  <c r="AI344" i="5"/>
  <c r="AI345" i="5"/>
  <c r="AI346" i="5"/>
  <c r="AI347" i="5"/>
  <c r="AI348" i="5"/>
  <c r="AI349" i="5"/>
  <c r="AI350" i="5"/>
  <c r="AI351" i="5"/>
  <c r="AI352" i="5"/>
  <c r="AI353" i="5"/>
  <c r="AI354" i="5"/>
  <c r="AI355" i="5"/>
  <c r="AI356" i="5"/>
  <c r="AI357" i="5"/>
  <c r="AI358" i="5"/>
  <c r="AI359" i="5"/>
  <c r="AI360" i="5"/>
  <c r="AI361" i="5"/>
  <c r="AI362" i="5"/>
  <c r="AI363" i="5"/>
  <c r="AI364" i="5"/>
  <c r="AI365" i="5"/>
  <c r="AI366" i="5"/>
  <c r="AI367" i="5"/>
  <c r="AI368" i="5"/>
  <c r="AI369" i="5"/>
  <c r="AI370" i="5"/>
  <c r="AI371" i="5"/>
  <c r="AI372" i="5"/>
  <c r="AI373" i="5"/>
  <c r="AI374" i="5"/>
  <c r="AI375" i="5"/>
  <c r="AI376" i="5"/>
  <c r="AI377" i="5"/>
  <c r="AI378" i="5"/>
  <c r="AI379" i="5"/>
  <c r="AI380" i="5"/>
  <c r="AI381" i="5"/>
  <c r="AI382" i="5"/>
  <c r="AI383" i="5"/>
  <c r="AI384" i="5"/>
  <c r="AI385" i="5"/>
  <c r="AI386" i="5"/>
  <c r="AI387" i="5"/>
  <c r="AI388" i="5"/>
  <c r="AI389" i="5"/>
  <c r="AI390" i="5"/>
  <c r="AI391" i="5"/>
  <c r="AI392" i="5"/>
  <c r="AI393" i="5"/>
  <c r="AI394" i="5"/>
  <c r="AI395" i="5"/>
  <c r="AI396" i="5"/>
  <c r="AI397" i="5"/>
  <c r="AI398" i="5"/>
  <c r="AI399" i="5"/>
  <c r="AI400" i="5"/>
  <c r="AI401" i="5"/>
  <c r="AI402" i="5"/>
  <c r="AI403" i="5"/>
  <c r="AI404" i="5"/>
  <c r="AI405" i="5"/>
  <c r="AI406" i="5"/>
  <c r="AI407" i="5"/>
  <c r="AI408" i="5"/>
  <c r="AI409" i="5"/>
  <c r="AI410" i="5"/>
  <c r="AI411" i="5"/>
  <c r="AI412" i="5"/>
  <c r="AI413" i="5"/>
  <c r="AI414" i="5"/>
  <c r="AI415" i="5"/>
  <c r="AI416" i="5"/>
  <c r="AI417" i="5"/>
  <c r="AI418" i="5"/>
  <c r="AI419" i="5"/>
  <c r="AI420" i="5"/>
  <c r="AI421" i="5"/>
  <c r="AI422" i="5"/>
  <c r="AI423" i="5"/>
  <c r="AI424" i="5"/>
  <c r="AI425" i="5"/>
  <c r="AI426" i="5"/>
  <c r="AI427" i="5"/>
  <c r="AI428" i="5"/>
  <c r="AI429" i="5"/>
  <c r="AI430" i="5"/>
  <c r="AI431" i="5"/>
  <c r="AI432" i="5"/>
  <c r="AI433" i="5"/>
  <c r="AI434" i="5"/>
  <c r="AI435" i="5"/>
  <c r="AI436" i="5"/>
  <c r="AI437" i="5"/>
  <c r="AI438" i="5"/>
  <c r="AI439" i="5"/>
  <c r="AI440" i="5"/>
  <c r="AI441" i="5"/>
  <c r="AI442" i="5"/>
  <c r="AI443" i="5"/>
  <c r="AI444" i="5"/>
  <c r="AI445" i="5"/>
  <c r="AI446" i="5"/>
  <c r="AI447" i="5"/>
  <c r="AI448" i="5"/>
  <c r="AI449" i="5"/>
  <c r="AI450" i="5"/>
  <c r="AI451" i="5"/>
  <c r="AI452" i="5"/>
  <c r="AI453" i="5"/>
  <c r="AI454" i="5"/>
  <c r="AI455" i="5"/>
  <c r="AI456" i="5"/>
  <c r="AI457" i="5"/>
  <c r="AI458" i="5"/>
  <c r="AI459" i="5"/>
  <c r="AI460" i="5"/>
  <c r="AI461" i="5"/>
  <c r="AI462" i="5"/>
  <c r="AI463" i="5"/>
  <c r="AI464" i="5"/>
  <c r="AI465" i="5"/>
  <c r="AI466" i="5"/>
  <c r="AI467" i="5"/>
  <c r="AI468" i="5"/>
  <c r="AI469" i="5"/>
  <c r="AI470" i="5"/>
  <c r="AI471" i="5"/>
  <c r="AI472" i="5"/>
  <c r="AI473" i="5"/>
  <c r="AI474" i="5"/>
  <c r="AI475" i="5"/>
  <c r="AI476" i="5"/>
  <c r="AI477" i="5"/>
  <c r="AI478" i="5"/>
  <c r="AI479" i="5"/>
  <c r="AI480" i="5"/>
  <c r="AI481" i="5"/>
  <c r="AI482" i="5"/>
  <c r="AI483" i="5"/>
  <c r="AI484" i="5"/>
  <c r="AI485" i="5"/>
  <c r="AI486" i="5"/>
  <c r="AI487" i="5"/>
  <c r="AI488" i="5"/>
  <c r="AI489" i="5"/>
  <c r="AI490" i="5"/>
  <c r="AI491" i="5"/>
  <c r="AI492" i="5"/>
  <c r="AI493" i="5"/>
  <c r="AI494" i="5"/>
  <c r="AI495" i="5"/>
  <c r="AI496" i="5"/>
  <c r="AI497" i="5"/>
  <c r="AI498" i="5"/>
  <c r="AI499" i="5"/>
  <c r="AI500" i="5"/>
  <c r="AI501" i="5"/>
  <c r="AI502" i="5"/>
  <c r="AI503" i="5"/>
  <c r="AI504" i="5"/>
  <c r="AI505" i="5"/>
  <c r="AI506" i="5"/>
  <c r="AI507" i="5"/>
  <c r="AI508" i="5"/>
  <c r="AI509" i="5"/>
  <c r="AI510" i="5"/>
  <c r="AI511" i="5"/>
  <c r="AI512" i="5"/>
  <c r="AI513" i="5"/>
  <c r="AI514" i="5"/>
  <c r="AI515" i="5"/>
  <c r="AI516" i="5"/>
  <c r="AI517" i="5"/>
  <c r="AI518" i="5"/>
  <c r="AI519" i="5"/>
  <c r="AI520" i="5"/>
  <c r="AI521" i="5"/>
  <c r="AI522" i="5"/>
  <c r="AI523" i="5"/>
  <c r="AI524" i="5"/>
  <c r="AI525" i="5"/>
  <c r="AI526" i="5"/>
  <c r="AI527" i="5"/>
  <c r="AI528" i="5"/>
  <c r="AI529" i="5"/>
  <c r="AI530" i="5"/>
  <c r="AI531" i="5"/>
  <c r="AI532" i="5"/>
  <c r="AI533" i="5"/>
  <c r="AI534" i="5"/>
  <c r="AI535" i="5"/>
  <c r="AI536" i="5"/>
  <c r="AI537" i="5"/>
  <c r="AI538" i="5"/>
  <c r="AI539" i="5"/>
  <c r="AI540" i="5"/>
  <c r="AI541" i="5"/>
  <c r="AI542" i="5"/>
  <c r="AI543" i="5"/>
  <c r="AI544" i="5"/>
  <c r="AI545" i="5"/>
  <c r="AI546" i="5"/>
  <c r="AI547" i="5"/>
  <c r="AI548" i="5"/>
  <c r="AI549" i="5"/>
  <c r="AI550" i="5"/>
  <c r="AI551" i="5"/>
  <c r="AI552" i="5"/>
  <c r="AI553" i="5"/>
  <c r="AI554" i="5"/>
  <c r="AI555" i="5"/>
  <c r="AI556" i="5"/>
  <c r="AI557" i="5"/>
  <c r="AI558" i="5"/>
  <c r="AI559" i="5"/>
  <c r="AI560" i="5"/>
  <c r="AI561" i="5"/>
  <c r="AI562" i="5"/>
  <c r="AI563" i="5"/>
  <c r="AI564" i="5"/>
  <c r="AI565" i="5"/>
  <c r="AI566" i="5"/>
  <c r="AI567" i="5"/>
  <c r="AI568" i="5"/>
  <c r="AI569" i="5"/>
  <c r="AI570" i="5"/>
  <c r="AI571" i="5"/>
  <c r="AI572" i="5"/>
  <c r="AI573" i="5"/>
  <c r="AI574" i="5"/>
  <c r="AI575" i="5"/>
  <c r="AI576" i="5"/>
  <c r="AI577" i="5"/>
  <c r="AI578" i="5"/>
  <c r="AI579" i="5"/>
  <c r="AI580" i="5"/>
  <c r="AI581" i="5"/>
  <c r="AI4" i="5"/>
  <c r="F58" i="3"/>
  <c r="I54" i="3"/>
  <c r="F47" i="3"/>
  <c r="I42" i="3"/>
  <c r="F36" i="3"/>
  <c r="I32" i="3"/>
  <c r="F26" i="3"/>
  <c r="F21" i="3"/>
  <c r="F15" i="3"/>
  <c r="I63" i="3"/>
  <c r="I66" i="3"/>
  <c r="I16" i="3" l="1"/>
  <c r="I59" i="4" l="1"/>
  <c r="F53" i="4"/>
  <c r="I48" i="4"/>
  <c r="F41" i="4"/>
  <c r="I37" i="4"/>
  <c r="F31" i="4"/>
  <c r="I27" i="4"/>
  <c r="I22" i="4"/>
  <c r="F15" i="4"/>
  <c r="I62" i="4" l="1"/>
  <c r="I64" i="4" s="1"/>
  <c r="I12" i="4"/>
  <c r="I65" i="4"/>
  <c r="I67" i="4" s="1"/>
  <c r="I59" i="3"/>
  <c r="F53" i="3"/>
  <c r="I48" i="3"/>
  <c r="F41" i="3"/>
  <c r="I37" i="3"/>
  <c r="F31" i="3"/>
  <c r="I27" i="3"/>
  <c r="I22" i="3"/>
  <c r="I12" i="3"/>
  <c r="E165" i="2"/>
  <c r="E167" i="2" s="1"/>
  <c r="E172" i="2" s="1"/>
  <c r="I133" i="2"/>
  <c r="G133" i="2"/>
  <c r="F93" i="2"/>
  <c r="F94" i="2" s="1"/>
  <c r="G60" i="2"/>
  <c r="E166" i="1"/>
  <c r="E168" i="1" s="1"/>
  <c r="E173" i="1" s="1"/>
  <c r="I134" i="1"/>
  <c r="G134" i="1"/>
  <c r="F94" i="1"/>
  <c r="F95" i="1" s="1"/>
  <c r="G60" i="1"/>
  <c r="I65" i="3" l="1"/>
  <c r="I67" i="3" s="1"/>
  <c r="I62" i="3"/>
  <c r="I64" i="3" s="1"/>
</calcChain>
</file>

<file path=xl/sharedStrings.xml><?xml version="1.0" encoding="utf-8"?>
<sst xmlns="http://schemas.openxmlformats.org/spreadsheetml/2006/main" count="1281" uniqueCount="904">
  <si>
    <t>Multiple Employer, Defined Benefit, Does Not Meets Paragraph 4</t>
  </si>
  <si>
    <t>The state will administer one multiple employer defined benefit plan for OPEB benefits related to certain local government employees who will receive retirement benefits from the Local Government Insurance Plan (pre-65).  The plan will operate on a paygo basis. This sheet covers the local government reporting and notes for particpation in the LGI (employer is not part of a special funding situation).</t>
  </si>
  <si>
    <t>Relevant paragraphs - 143-171</t>
  </si>
  <si>
    <t>OPEB liability</t>
  </si>
  <si>
    <t>-</t>
  </si>
  <si>
    <t>For economic resources accounting liability should be recognized for the total OPEB liability</t>
  </si>
  <si>
    <t>Full accrual statements</t>
  </si>
  <si>
    <t>For current resources accounting liability should be recognized to extent that the liability will be paid with expendable available financial resources. Usually means to the extent that benefit payments have matured (are due and payable).</t>
  </si>
  <si>
    <t>Governmental funds</t>
  </si>
  <si>
    <t xml:space="preserve">Current OPEB expense/expenditures. Each annual valuation adds a layer. </t>
  </si>
  <si>
    <t>OPEB expenditures should be recognized equal to the total of amounts paid by the employer as benefits came due and the change between the beginning and ending balances of amounts normally expected to be liquidated with expendable available financial resources (to extent benefits are due and payable)</t>
  </si>
  <si>
    <t>Changes in the total OPEB liability should be recognized in OPEB expense in the current period except as noted below.</t>
  </si>
  <si>
    <t>Amounts paid by the employer for OPEB as the benefits come due should not be recognized in OPEB expense.</t>
  </si>
  <si>
    <t>157B</t>
  </si>
  <si>
    <t xml:space="preserve">One year portion of difference between actual and expected experience with regard to economic or demographic factors in the net OPEB liability.  Amortized over closed period equal to average remaining useful life of all OPEB eligibles as of start of measurement period. </t>
  </si>
  <si>
    <t>157A(1)</t>
  </si>
  <si>
    <t>One year portion of Amounts related to changes of assumptions about future economic or demographic factors or of other inputs. Amortized over closed period equal to average remaining useful life of all OPEB eligibles as of start of measurement period</t>
  </si>
  <si>
    <t>157A(2)</t>
  </si>
  <si>
    <t>Costs incurred by the employer related to the administration of OPEB.  Using same measurement period as other changes to total OPEB liability</t>
  </si>
  <si>
    <t>Deferred outflow/inflow, single employer</t>
  </si>
  <si>
    <t>Unamortized portion of (1) under recognized in current expense. New layer with own amortization yearly.</t>
  </si>
  <si>
    <t>Unamortized portion of (2) under recognized in current expense. New layer with own amortization yearly.</t>
  </si>
  <si>
    <t>Costs incurred subsequent to the measurement date related to the administration of OPEB.</t>
  </si>
  <si>
    <t>Amounts paid by the employer for OPEB benefits as they came due subsequent to the measurement date of total OPEB liability and before the end of the reporting period should be reported as deferred outflows (July 1, 2017-June 30, 2018 for FY18)</t>
  </si>
  <si>
    <t>Required note disclosures, single employer</t>
  </si>
  <si>
    <t>Note X - Other Postemployment Benefits (OPEB)</t>
  </si>
  <si>
    <t>[If the entity provides OPEB benefits through more than one plan, the entity should disclose the total of the employers OPEB liabilities, deferred outflows of resources and deferred inflows of resources related to OPEB and OPEB expense/expenditures for the period if not otherwise identifiable in the financial statements.  These amounts should be disclosed in the aggregate for each element.]</t>
  </si>
  <si>
    <t>General information about the OPEB plan</t>
  </si>
  <si>
    <t>165A</t>
  </si>
  <si>
    <t>165B</t>
  </si>
  <si>
    <t>165C</t>
  </si>
  <si>
    <t>Active employees</t>
  </si>
  <si>
    <t>165E</t>
  </si>
  <si>
    <t>Total OPEB Liability</t>
  </si>
  <si>
    <r>
      <rPr>
        <b/>
        <i/>
        <sz val="10"/>
        <color theme="1"/>
        <rFont val="Times New Roman"/>
        <family val="1"/>
      </rPr>
      <t>Actuarial assumptions</t>
    </r>
    <r>
      <rPr>
        <sz val="10"/>
        <color theme="1"/>
        <rFont val="Times New Roman"/>
        <family val="1"/>
      </rPr>
      <t xml:space="preserve"> - The total OPEB liability in the June 30, 2017 actuarial valuation was determined using the following actuarial assumptions and other inputs, applied to all periods included in the measurement, unless otherwise specified:</t>
    </r>
  </si>
  <si>
    <t>166, 169A</t>
  </si>
  <si>
    <t>Inflation</t>
  </si>
  <si>
    <t>Salary increases</t>
  </si>
  <si>
    <t>Graded salary ranges from 3.44 to 8.72 percent based on age, including inflation, averaging 4 percent</t>
  </si>
  <si>
    <t>Healthcare cost trend rates</t>
  </si>
  <si>
    <t>Retiree's share of benefit-related costs</t>
  </si>
  <si>
    <t xml:space="preserve">Members are required to make monthly contributions in order to maintain their coverage. For the purpose of this Valuation a weighted average has been used with weights derived from the current distribution of members among plans offered.   
</t>
  </si>
  <si>
    <t>Unless noted otherwise, the actuarial demographic assumptions used in the June 30, 2017, valuations were the same as those employed in the July 1, 2017 Pension Actuarial Valuation of the Tennessee Consolidated Retirement System (TCRS). These assumptions were developed by TCRS based on the results of an actuarial experience study for the period July 1, 2012 - June 30, 2016. The demographic assumptions were adjusted to more  closely reflect actual and expected future experience. Mortality tables are used to measure the probabilities of participants dying before and after retirement.  The mortality rates employed in this valuation are taken from the RP-2014 Healthy Participant Mortality Table for Annuitants for non-disabled post-retirement mortality, with mortality improvement projected to all future years using Scale MP-2016. Post-retirement tables are Blue Collar and adjusted with a 2% load for males and a -3% load for females. Mortality rates for impaired lives are the same as those used by TCRS and are taken from a gender distinct table published in the IRS Ruling 96-7 for disabled lives with a 10% load.</t>
  </si>
  <si>
    <r>
      <rPr>
        <b/>
        <i/>
        <sz val="10"/>
        <color theme="1"/>
        <rFont val="Times New Roman"/>
        <family val="1"/>
      </rPr>
      <t>Discount rate</t>
    </r>
    <r>
      <rPr>
        <sz val="10"/>
        <color theme="1"/>
        <rFont val="Times New Roman"/>
        <family val="1"/>
      </rPr>
      <t xml:space="preserve"> - The discount rate used to measure the total OPEB liability was 3.56 percent.  This rate reflects the interest rate derived from yields on 20-year, tax-exempt general obligation municipal bonds, prevailing on the measurement date, with an average rating of AA/Aa as shown on the Fidelity 20-Year Municipal GO AA index.</t>
    </r>
  </si>
  <si>
    <t>Changes in the Total OPEB Liability</t>
  </si>
  <si>
    <t>Total OPEB Liability
(a)</t>
  </si>
  <si>
    <t>Balances at June 30, 2016</t>
  </si>
  <si>
    <t>168A</t>
  </si>
  <si>
    <t>Changes for the year:</t>
  </si>
  <si>
    <t xml:space="preserve">    Service cost</t>
  </si>
  <si>
    <t>168B(1)</t>
  </si>
  <si>
    <t xml:space="preserve">    Interest</t>
  </si>
  <si>
    <t>168B(2)</t>
  </si>
  <si>
    <t xml:space="preserve">    Changes of benefit terms</t>
  </si>
  <si>
    <t>168B(3)</t>
  </si>
  <si>
    <t xml:space="preserve">    Differences between expected and actual experience</t>
  </si>
  <si>
    <t>168B(4)</t>
  </si>
  <si>
    <t xml:space="preserve">    Change in assumptions</t>
  </si>
  <si>
    <t>168B(5)</t>
  </si>
  <si>
    <t xml:space="preserve">    Benefit payments</t>
  </si>
  <si>
    <t>168B(6)</t>
  </si>
  <si>
    <t>Net changes</t>
  </si>
  <si>
    <t>Balances at June 30, 2017</t>
  </si>
  <si>
    <t>168C</t>
  </si>
  <si>
    <r>
      <rPr>
        <b/>
        <i/>
        <sz val="10"/>
        <color theme="1"/>
        <rFont val="Times New Roman"/>
        <family val="1"/>
      </rPr>
      <t xml:space="preserve">Changes in assumptions - </t>
    </r>
    <r>
      <rPr>
        <sz val="10"/>
        <color theme="1"/>
        <rFont val="Times New Roman"/>
        <family val="1"/>
      </rPr>
      <t>The discount rate was changed from 2.92% as of the beginning of the measurement period to 3.56% as of June 30, 2017.  This change in assumption decreased the total OPEB liability.</t>
    </r>
  </si>
  <si>
    <t>169C</t>
  </si>
  <si>
    <r>
      <rPr>
        <b/>
        <i/>
        <sz val="10"/>
        <color theme="1"/>
        <rFont val="Times New Roman"/>
        <family val="1"/>
      </rPr>
      <t xml:space="preserve">Changes in benefit terms - </t>
    </r>
    <r>
      <rPr>
        <sz val="10"/>
        <color theme="1"/>
        <rFont val="Times New Roman"/>
        <family val="1"/>
      </rPr>
      <t>This section will include a brief discussion of any changes in benefit terms from the previous valuation (if applicable).</t>
    </r>
  </si>
  <si>
    <t>169D</t>
  </si>
  <si>
    <t>N/A</t>
  </si>
  <si>
    <r>
      <rPr>
        <b/>
        <i/>
        <sz val="10"/>
        <color theme="1"/>
        <rFont val="Times New Roman"/>
        <family val="1"/>
      </rPr>
      <t xml:space="preserve">Allocated insurance contracts - </t>
    </r>
    <r>
      <rPr>
        <sz val="10"/>
        <color theme="1"/>
        <rFont val="Times New Roman"/>
        <family val="1"/>
      </rPr>
      <t>This section will include a brief discussion of any benefits, during measurement period attributable to allocated insurance contracts (if applicable).</t>
    </r>
  </si>
  <si>
    <t>169E</t>
  </si>
  <si>
    <r>
      <rPr>
        <b/>
        <i/>
        <sz val="10"/>
        <color theme="1"/>
        <rFont val="Times New Roman"/>
        <family val="1"/>
      </rPr>
      <t xml:space="preserve">Significant changes subsequent to measurement date - </t>
    </r>
    <r>
      <rPr>
        <sz val="10"/>
        <color theme="1"/>
        <rFont val="Times New Roman"/>
        <family val="1"/>
      </rPr>
      <t>This section will include a brief discussion of any changes during the period between the measurement date and the reporting date that is expected to have a significant impact on the total OPEB liability and the amount of the resultant change, if known (if applicable).</t>
    </r>
  </si>
  <si>
    <t>169F</t>
  </si>
  <si>
    <t>167B</t>
  </si>
  <si>
    <t>1% Decrease
(2.56%)</t>
  </si>
  <si>
    <t>Discount Rate
(3.56%)</t>
  </si>
  <si>
    <t>1% Increase
(4.56%)</t>
  </si>
  <si>
    <t>Total OPEB liability</t>
  </si>
  <si>
    <t>$</t>
  </si>
  <si>
    <t>167A</t>
  </si>
  <si>
    <t>OPEB Expense and Deferred Outflows of Resources and Deferred Inflows of Resources Related to OPEB</t>
  </si>
  <si>
    <r>
      <rPr>
        <b/>
        <i/>
        <sz val="10"/>
        <color theme="1"/>
        <rFont val="Times New Roman"/>
        <family val="1"/>
      </rPr>
      <t xml:space="preserve">OPEB expense - </t>
    </r>
    <r>
      <rPr>
        <sz val="10"/>
        <color theme="1"/>
        <rFont val="Times New Roman"/>
        <family val="1"/>
      </rPr>
      <t>For the fiscal year ended June, 30, 2018, [entity name] recognized OPEB expense of $xxx.xx million.</t>
    </r>
  </si>
  <si>
    <t>169G</t>
  </si>
  <si>
    <t>169H</t>
  </si>
  <si>
    <t>Deferred Outflows of resources</t>
  </si>
  <si>
    <t>Deferred Inflows of resources</t>
  </si>
  <si>
    <t xml:space="preserve">    Differences between actual and expected experience</t>
  </si>
  <si>
    <t>169H(1)</t>
  </si>
  <si>
    <t xml:space="preserve">    Changes of assumptions</t>
  </si>
  <si>
    <t>169H(2)</t>
  </si>
  <si>
    <t xml:space="preserve">    Employer payments subsequent to the measurement date</t>
  </si>
  <si>
    <t>169H(4)</t>
  </si>
  <si>
    <t>Total</t>
  </si>
  <si>
    <t>The amounts shown above for "Employer payments subsequent to the measurement date" will be recognized as a reduction to total OPEB liability in the following measurement period.</t>
  </si>
  <si>
    <t>169I(2)</t>
  </si>
  <si>
    <t>Amounts reported as deferred outflows of resources and deferred inflows of resources will be recognized in OPEB expense as follows:</t>
  </si>
  <si>
    <t>169I</t>
  </si>
  <si>
    <t>For the year ended June 30:</t>
  </si>
  <si>
    <t>Thereafter</t>
  </si>
  <si>
    <t>In the table above, positive amounts will increase OPEB expense while negative amounts will decrease OPEB expense.</t>
  </si>
  <si>
    <t>Required Supplementary Information</t>
  </si>
  <si>
    <t>57A</t>
  </si>
  <si>
    <t>Schedule of Changes in [entity name] Total OPEB Liability and Related Ratios</t>
  </si>
  <si>
    <t>Last Fiscal Year
(dollar amount in thousands)</t>
  </si>
  <si>
    <t xml:space="preserve">Total OPEB liability  </t>
  </si>
  <si>
    <t>Service cost</t>
  </si>
  <si>
    <t>170A</t>
  </si>
  <si>
    <t>Interest</t>
  </si>
  <si>
    <t>Changes of benefit terms</t>
  </si>
  <si>
    <t>Differences between expected and actual experience</t>
  </si>
  <si>
    <t>Changes of assumptions</t>
  </si>
  <si>
    <t>Benefit payments</t>
  </si>
  <si>
    <t>Net change in total OPEB liability</t>
  </si>
  <si>
    <t>Total OPEB liability - beginning</t>
  </si>
  <si>
    <t>Total OPEB liability - ending (a)</t>
  </si>
  <si>
    <t>170A, B(1)</t>
  </si>
  <si>
    <t>Covered-employee payroll</t>
  </si>
  <si>
    <t>GASB 85 para 14</t>
  </si>
  <si>
    <t>Total OPEB liability as a percentage of covered-employee payroll</t>
  </si>
  <si>
    <t>170B(1)c</t>
  </si>
  <si>
    <t>Notes to Schedule</t>
  </si>
  <si>
    <t>There are no assets accumulating, in a trust that meets the criteria in paragraph 4 of GASB Statement No. 75, related to this OPEB plan.</t>
  </si>
  <si>
    <t>The amounts reported for each fiscal year were determined as of the prior fiscal year-end.</t>
  </si>
  <si>
    <t>This schedule is intended to display ten years of information.  Additional years will be displayed as they become available.</t>
  </si>
  <si>
    <t>[information about factors that significantly affect trends in the amounts reported in the RSI schedule should be presented as notes to the schedules. This would include changes of benefit terms, change in size or composition of population or changes in assumptions.  Investment related changes disclosures should be limited to those that the OPEB plan or participants have influence, such as over investment policies but not changes in market prices]</t>
  </si>
  <si>
    <t>The state will administer one multiple employer defined benefit plan in which it will also report as a employer for OPEB benefits related to state employees (primary government and component units) who will receive retirement benefits from the Tennessee Plan (post-65).  The plan will operate on a paygo basis. The state will also be a participant in the plan as a governmental nonemployer contributing entity in a special funding situation related to the subsidy provided to retired teachers of LEA's. This sheet covers the local government reporting and notes for particpation in the TNP (employer is not part of a special funding situation).</t>
  </si>
  <si>
    <t>Closed Tennessee Plan</t>
  </si>
  <si>
    <t xml:space="preserve">In accordance with TCA 8-27-209, the state insurance committees established by TCAs 8-27-201, 8-27-301 and 8-27-701 determine the required payments to the plan by member employers and employees. Claims liabilities of the plan are periodically computed using actuarial and statistical techniques to establish premium rates.  Administrative costs are allocated to plan participants. Employers contribute towards employee costs based on their own developed policies.  During the current reporting period, the [entity name] paid $xxx.xxx million to the TNP for OPEB benefits as they came due. </t>
  </si>
  <si>
    <t>The premium subsidies provided to retirees in the Tennessee Plan are assumed to remain unchanged for the entire projection, therefore trend rates are not applicable.</t>
  </si>
  <si>
    <t>TNP</t>
  </si>
  <si>
    <t>1% Decrease
(2.53)</t>
  </si>
  <si>
    <t>Healthcare Cost Trend Rates
(3.53)</t>
  </si>
  <si>
    <t>1% Increase
(4.53)</t>
  </si>
  <si>
    <t>Click in Cell Below and Select Your Organization</t>
  </si>
  <si>
    <t>Debit</t>
  </si>
  <si>
    <t>Credit</t>
  </si>
  <si>
    <t>OPEB Liability</t>
  </si>
  <si>
    <t xml:space="preserve">        Net Position</t>
  </si>
  <si>
    <t>Removes the June 30, 2017 OPEB liability</t>
  </si>
  <si>
    <t>Net Position</t>
  </si>
  <si>
    <t xml:space="preserve">        OPEB Liability</t>
  </si>
  <si>
    <t>Records the beginning balance of the OPEB liability at June 30, 2016</t>
  </si>
  <si>
    <r>
      <t xml:space="preserve">2)    Prior period adjustment to record the beginning balance of the deferred outflow of resources for benefit payments made subsequent to the measurement date of the beginning collective total OPEB liability but before the beginning of the employer fiscal year.  It is recommended that each plan use separate accounts for the deferrals. This should aid in reviews and validations. This amount is found on the </t>
    </r>
    <r>
      <rPr>
        <b/>
        <i/>
        <sz val="11"/>
        <color theme="1"/>
        <rFont val="Calibri"/>
        <family val="2"/>
        <scheme val="minor"/>
      </rPr>
      <t xml:space="preserve">Schedule of Changes in Total OPEB Liability and Related Ratios </t>
    </r>
    <r>
      <rPr>
        <b/>
        <sz val="11"/>
        <color theme="1"/>
        <rFont val="Calibri"/>
        <family val="2"/>
        <scheme val="minor"/>
      </rPr>
      <t>on the Benefits payments line</t>
    </r>
    <r>
      <rPr>
        <b/>
        <sz val="11"/>
        <color theme="1"/>
        <rFont val="Calibri"/>
        <family val="2"/>
        <scheme val="minor"/>
      </rPr>
      <t>. FY2018 only (GASB75, par 244 par 244(b))</t>
    </r>
  </si>
  <si>
    <t>DO Benefit Payments Subsequent to Measurement Date</t>
  </si>
  <si>
    <t>OPEB Expense</t>
  </si>
  <si>
    <t xml:space="preserve">        Deferred Inflow of Resources 2018 Change in Assumptions</t>
  </si>
  <si>
    <t>Deferred Inflow of Resources 2018 Change in Assumptions</t>
  </si>
  <si>
    <t xml:space="preserve">        DO Benefit Payments Subsequent to Measurement Date</t>
  </si>
  <si>
    <t xml:space="preserve">        Employer Determines Proper Benefit Expense Account</t>
  </si>
  <si>
    <t>Total OPEB Liability After Above Entries</t>
  </si>
  <si>
    <t>Total OPEB Liability Per Valuation Results</t>
  </si>
  <si>
    <t>Total Change in OPEB Liability Per This Tab</t>
  </si>
  <si>
    <t>Total Change in OPEB Liability Per Results Tab</t>
  </si>
  <si>
    <t>Recommended New Accounts</t>
  </si>
  <si>
    <t>1) DO Benefit Payments Subsequent to Measurement Date EGI</t>
  </si>
  <si>
    <t>2) Deferred Inflow of Resources 2018 Change in Assumptions EGI</t>
  </si>
  <si>
    <t xml:space="preserve">        Deferred Inflow of Resources 2018 Diff Between Expected and Actual Experience</t>
  </si>
  <si>
    <t>Deferred Inflow of Resources 2018 Diff Between Expected and Actual Experience</t>
  </si>
  <si>
    <r>
      <t xml:space="preserve">3)    Entry to record the employers total OPEB expense recognized for the measurement period. This amount can be found on the </t>
    </r>
    <r>
      <rPr>
        <b/>
        <i/>
        <sz val="11"/>
        <color theme="1"/>
        <rFont val="Calibri"/>
        <family val="2"/>
        <scheme val="minor"/>
      </rPr>
      <t>Statement of OPEB Expense</t>
    </r>
    <r>
      <rPr>
        <b/>
        <sz val="11"/>
        <color theme="1"/>
        <rFont val="Calibri"/>
        <family val="2"/>
        <scheme val="minor"/>
      </rPr>
      <t>. (GASB75, par 157-158)</t>
    </r>
  </si>
  <si>
    <r>
      <t xml:space="preserve">4)    Entry to record the annual increase to the employers total deferred inflows/outflows of resources related to FY2018 differences between expected and actual experience. Each year’s increase will have its own separate amortization period (based on expected service lives of covered employees). It is recommended that employers track these deferrals in separate accounts to ease with tracking and validation of amounts. This amount can be found on the </t>
    </r>
    <r>
      <rPr>
        <b/>
        <i/>
        <sz val="11"/>
        <color theme="1"/>
        <rFont val="Calibri"/>
        <family val="2"/>
        <scheme val="minor"/>
      </rPr>
      <t>Schedule of Changes in Total OPEB Liability and Related Ratios</t>
    </r>
    <r>
      <rPr>
        <b/>
        <sz val="11"/>
        <color theme="1"/>
        <rFont val="Calibri"/>
        <family val="2"/>
        <scheme val="minor"/>
      </rPr>
      <t xml:space="preserve"> on the Differences between expected and actual experience of the Total OPEB Liability. (GASB75, par 157(a)(1))  </t>
    </r>
  </si>
  <si>
    <r>
      <t xml:space="preserve">5)    Entry to record the current year amortization of the employers’ deferred inflows of resources related to FY2018 differences between expected and actual experience.  This amount can be found on the </t>
    </r>
    <r>
      <rPr>
        <b/>
        <i/>
        <sz val="11"/>
        <color theme="1"/>
        <rFont val="Calibri"/>
        <family val="2"/>
        <scheme val="minor"/>
      </rPr>
      <t>Statement of Remaining Deferred Outflows and Inflows of Resources</t>
    </r>
    <r>
      <rPr>
        <b/>
        <sz val="11"/>
        <color theme="1"/>
        <rFont val="Calibri"/>
        <family val="2"/>
        <scheme val="minor"/>
      </rPr>
      <t xml:space="preserve">.  However, it is recommended that the employer maintain their own amortization schedules and that the valuation results are used to verify GL balances. The total of all current period amortized deferrals can be reconciled to the </t>
    </r>
    <r>
      <rPr>
        <b/>
        <i/>
        <sz val="11"/>
        <color theme="1"/>
        <rFont val="Calibri"/>
        <family val="2"/>
        <scheme val="minor"/>
      </rPr>
      <t>Statement of OPEB Expense</t>
    </r>
    <r>
      <rPr>
        <b/>
        <sz val="11"/>
        <color theme="1"/>
        <rFont val="Calibri"/>
        <family val="2"/>
        <scheme val="minor"/>
      </rPr>
      <t>. (GASB75, par 157(a)(1))</t>
    </r>
  </si>
  <si>
    <r>
      <t xml:space="preserve">6)    Entry to record the annual increase to the employers total deferred inflows/outflows of resources related to FY2018 changes in assumptions and other inputs. Each year’s increase will have its own separate amortization period (based on expected service lives of covered employees). It is recommended that employers track these deferrals in separate accounts to ease with tracking and validation of amounts. This amount can be found on the </t>
    </r>
    <r>
      <rPr>
        <b/>
        <i/>
        <sz val="11"/>
        <color theme="1"/>
        <rFont val="Calibri"/>
        <family val="2"/>
        <scheme val="minor"/>
      </rPr>
      <t>Schedule of Changes in Total OPEB Liability and Related Ratios</t>
    </r>
    <r>
      <rPr>
        <b/>
        <sz val="11"/>
        <color theme="1"/>
        <rFont val="Calibri"/>
        <family val="2"/>
        <scheme val="minor"/>
      </rPr>
      <t xml:space="preserve"> on the Changes of assumptions line. (GASB75, par 157(a)(2))  </t>
    </r>
  </si>
  <si>
    <r>
      <t xml:space="preserve">7)    Entry to record the current year amortization of the employers’ total deferred inflows of resources related to FY 2018 changes in assumptions and other inputs.  This amount can be found on the </t>
    </r>
    <r>
      <rPr>
        <b/>
        <i/>
        <sz val="11"/>
        <color theme="1"/>
        <rFont val="Calibri"/>
        <family val="2"/>
        <scheme val="minor"/>
      </rPr>
      <t>Statement of Remaining Deferred Outflows and Inflows of Resources</t>
    </r>
    <r>
      <rPr>
        <b/>
        <sz val="11"/>
        <color theme="1"/>
        <rFont val="Calibri"/>
        <family val="2"/>
        <scheme val="minor"/>
      </rPr>
      <t xml:space="preserve">.  However, it is recommended that the employer maintain their own amortization schedules and that the valuation results are used to verify GL balances. The total of all current period amortized deferrals can be reconciled to the </t>
    </r>
    <r>
      <rPr>
        <b/>
        <i/>
        <sz val="11"/>
        <color theme="1"/>
        <rFont val="Calibri"/>
        <family val="2"/>
        <scheme val="minor"/>
      </rPr>
      <t>Statement of OPEB Expense</t>
    </r>
    <r>
      <rPr>
        <b/>
        <sz val="11"/>
        <color theme="1"/>
        <rFont val="Calibri"/>
        <family val="2"/>
        <scheme val="minor"/>
      </rPr>
      <t>. (GASB75, par 157(a)(2))</t>
    </r>
  </si>
  <si>
    <r>
      <t xml:space="preserve">8)    An entry to recognize the change in the employers total OPEB liability related to benefit payments made during the measurement period. Amounts paid by the employer, for OPEB, as benefits come due should not be recognized in OPEB expense. In the year of implementation, this amount will be a reversal of the same amount recorded in Entry 2.  This amount is found on the </t>
    </r>
    <r>
      <rPr>
        <b/>
        <i/>
        <sz val="11"/>
        <color theme="1"/>
        <rFont val="Calibri"/>
        <family val="2"/>
        <scheme val="minor"/>
      </rPr>
      <t>Schedule of Changes in Total OPEB Liability and Related Ratios</t>
    </r>
    <r>
      <rPr>
        <b/>
        <sz val="11"/>
        <color theme="1"/>
        <rFont val="Calibri"/>
        <family val="2"/>
        <scheme val="minor"/>
      </rPr>
      <t xml:space="preserve"> on the Benefits payments line. (GASB75, par 157(b))</t>
    </r>
  </si>
  <si>
    <r>
      <t xml:space="preserve">9)    An entry to record the deferred outflow of resources for benefits paid subsequent to the measurement date but before the end of the employers reporting period.  The employer will need to determine the expense account for the offset. An estimate of this amount is provided by the actuary in the </t>
    </r>
    <r>
      <rPr>
        <b/>
        <i/>
        <sz val="11"/>
        <color theme="1"/>
        <rFont val="Calibri"/>
        <family val="2"/>
        <scheme val="minor"/>
      </rPr>
      <t>Executive Summary</t>
    </r>
    <r>
      <rPr>
        <b/>
        <sz val="11"/>
        <color theme="1"/>
        <rFont val="Calibri"/>
        <family val="2"/>
        <scheme val="minor"/>
      </rPr>
      <t xml:space="preserve">.(GASB75, par 159) </t>
    </r>
  </si>
  <si>
    <t>Tennessee (Medicare Supplement) Plan - PayGo No Special Funding Situation - Local Government Reporting</t>
  </si>
  <si>
    <t>Local Government Insurance Plan - PayGo No Special Funding Situation - Local Government Reporting</t>
  </si>
  <si>
    <t>Unless noted otherwise, the actuarial demographic assumptions used in the June 30, 2017, valuations were the same as those employed in the July 1, 2017 Pension Actuarial Valuation of the Tennessee Consolidated Retirement System (TCRS). These assumptions were developed by TCRS based on the results of an actuarial experience study for the period July 1, 2012 - June 30, 2016. The demographic assumptions were adjusted to more closely reflect actual and expected future experience. Mortality tables are used to measure the probabilities of participants dying before and after retirement.  The mortality rates employed in this valuation are taken from the RP-2014 Healthy Participant Mortality Table for Annuitants for non-disabled post-retirement mortality, with mortality improvement projected to all future years using Scale MP-2016. Post-retirement tables are Blue Collar and adjusted with a 2% load for males and a -3% load for females. Mortality rates for impaired lives are the same as those used by TCRS and are taken from a gender distinct table published in the IRS Ruling 96-7 for disabled lives with a 10% load.</t>
  </si>
  <si>
    <r>
      <rPr>
        <b/>
        <sz val="8"/>
        <color rgb="FFFFFFFF"/>
        <rFont val="Times New Roman"/>
        <family val="1"/>
      </rPr>
      <t>Employer</t>
    </r>
  </si>
  <si>
    <r>
      <rPr>
        <sz val="8"/>
        <rFont val="Times New Roman"/>
        <family val="1"/>
      </rPr>
      <t>21St Drug Task Force</t>
    </r>
  </si>
  <si>
    <r>
      <rPr>
        <sz val="8"/>
        <rFont val="Times New Roman"/>
        <family val="1"/>
      </rPr>
      <t>Access Svs. Of Mid- TN</t>
    </r>
  </si>
  <si>
    <r>
      <rPr>
        <sz val="8"/>
        <rFont val="Times New Roman"/>
        <family val="1"/>
      </rPr>
      <t>Adult Community Training</t>
    </r>
  </si>
  <si>
    <r>
      <rPr>
        <sz val="8"/>
        <rFont val="Times New Roman"/>
        <family val="1"/>
      </rPr>
      <t>Ag Serv/U-Cumb</t>
    </r>
  </si>
  <si>
    <r>
      <rPr>
        <sz val="8"/>
        <rFont val="Times New Roman"/>
        <family val="1"/>
      </rPr>
      <t>Agape, Inc</t>
    </r>
  </si>
  <si>
    <r>
      <rPr>
        <sz val="8"/>
        <rFont val="Times New Roman"/>
        <family val="1"/>
      </rPr>
      <t>Aid To Dist Fam/Ander C</t>
    </r>
  </si>
  <si>
    <r>
      <rPr>
        <sz val="8"/>
        <rFont val="Times New Roman"/>
        <family val="1"/>
      </rPr>
      <t>AIM Center, Inc.</t>
    </r>
  </si>
  <si>
    <r>
      <rPr>
        <sz val="8"/>
        <rFont val="Times New Roman"/>
        <family val="1"/>
      </rPr>
      <t>Alamo, City of</t>
    </r>
  </si>
  <si>
    <r>
      <rPr>
        <sz val="8"/>
        <rFont val="Times New Roman"/>
        <family val="1"/>
      </rPr>
      <t>Alc/Drug Middle</t>
    </r>
  </si>
  <si>
    <r>
      <rPr>
        <sz val="8"/>
        <rFont val="Times New Roman"/>
        <family val="1"/>
      </rPr>
      <t>Alpha-Talbott</t>
    </r>
  </si>
  <si>
    <r>
      <rPr>
        <sz val="8"/>
        <rFont val="Times New Roman"/>
        <family val="1"/>
      </rPr>
      <t>Anderson Co Cac</t>
    </r>
  </si>
  <si>
    <r>
      <rPr>
        <sz val="8"/>
        <rFont val="Times New Roman"/>
        <family val="1"/>
      </rPr>
      <t>Anderson Co Health Council</t>
    </r>
  </si>
  <si>
    <r>
      <rPr>
        <sz val="8"/>
        <rFont val="Times New Roman"/>
        <family val="1"/>
      </rPr>
      <t>Appalachan Ed Comm</t>
    </r>
  </si>
  <si>
    <r>
      <rPr>
        <sz val="8"/>
        <rFont val="Times New Roman"/>
        <family val="1"/>
      </rPr>
      <t>Arc of Davidson</t>
    </r>
  </si>
  <si>
    <r>
      <rPr>
        <sz val="8"/>
        <rFont val="Times New Roman"/>
        <family val="1"/>
      </rPr>
      <t>Arc Of Hamilton County</t>
    </r>
  </si>
  <si>
    <r>
      <rPr>
        <sz val="8"/>
        <rFont val="Times New Roman"/>
        <family val="1"/>
      </rPr>
      <t>Arc Of Washington Co Inc</t>
    </r>
  </si>
  <si>
    <r>
      <rPr>
        <sz val="8"/>
        <rFont val="Times New Roman"/>
        <family val="1"/>
      </rPr>
      <t>Arc Of Williamson County</t>
    </r>
  </si>
  <si>
    <r>
      <rPr>
        <sz val="8"/>
        <rFont val="Times New Roman"/>
        <family val="1"/>
      </rPr>
      <t>Arts Center of Cannon County</t>
    </r>
  </si>
  <si>
    <r>
      <rPr>
        <sz val="8"/>
        <rFont val="Times New Roman"/>
        <family val="1"/>
      </rPr>
      <t>Association of County Mayors</t>
    </r>
  </si>
  <si>
    <r>
      <rPr>
        <sz val="8"/>
        <rFont val="Times New Roman"/>
        <family val="1"/>
      </rPr>
      <t>Avalon Center, Inc</t>
    </r>
  </si>
  <si>
    <r>
      <rPr>
        <sz val="8"/>
        <rFont val="Times New Roman"/>
        <family val="1"/>
      </rPr>
      <t>Bangham Utilities</t>
    </r>
  </si>
  <si>
    <r>
      <rPr>
        <sz val="8"/>
        <rFont val="Times New Roman"/>
        <family val="1"/>
      </rPr>
      <t>Battered Women, Inc.</t>
    </r>
  </si>
  <si>
    <r>
      <rPr>
        <sz val="8"/>
        <rFont val="Times New Roman"/>
        <family val="1"/>
      </rPr>
      <t>Bedford County Government</t>
    </r>
  </si>
  <si>
    <r>
      <rPr>
        <sz val="8"/>
        <rFont val="Times New Roman"/>
        <family val="1"/>
      </rPr>
      <t>Beech River Watershed Development Auth.</t>
    </r>
  </si>
  <si>
    <r>
      <rPr>
        <sz val="8"/>
        <rFont val="Times New Roman"/>
        <family val="1"/>
      </rPr>
      <t>Behavioral Health Initiatives</t>
    </r>
  </si>
  <si>
    <r>
      <rPr>
        <sz val="8"/>
        <rFont val="Times New Roman"/>
        <family val="1"/>
      </rPr>
      <t>Bells, City Of</t>
    </r>
  </si>
  <si>
    <r>
      <rPr>
        <sz val="8"/>
        <rFont val="Times New Roman"/>
        <family val="1"/>
      </rPr>
      <t>Benton County</t>
    </r>
  </si>
  <si>
    <r>
      <rPr>
        <sz val="8"/>
        <rFont val="Times New Roman"/>
        <family val="1"/>
      </rPr>
      <t>Benton County Highway Department</t>
    </r>
  </si>
  <si>
    <r>
      <rPr>
        <sz val="8"/>
        <rFont val="Times New Roman"/>
        <family val="1"/>
      </rPr>
      <t>Bethlehem Centers of Nashville</t>
    </r>
  </si>
  <si>
    <r>
      <rPr>
        <sz val="8"/>
        <rFont val="Times New Roman"/>
        <family val="1"/>
      </rPr>
      <t>Better Decisions</t>
    </r>
  </si>
  <si>
    <r>
      <rPr>
        <sz val="8"/>
        <rFont val="Times New Roman"/>
        <family val="1"/>
      </rPr>
      <t>Big Creek Utility District</t>
    </r>
  </si>
  <si>
    <r>
      <rPr>
        <sz val="8"/>
        <rFont val="Times New Roman"/>
        <family val="1"/>
      </rPr>
      <t>Blaine, City of</t>
    </r>
  </si>
  <si>
    <r>
      <rPr>
        <sz val="8"/>
        <rFont val="Times New Roman"/>
        <family val="1"/>
      </rPr>
      <t>Blakemore United Methodist Childrens Center</t>
    </r>
  </si>
  <si>
    <r>
      <rPr>
        <sz val="8"/>
        <rFont val="Times New Roman"/>
        <family val="1"/>
      </rPr>
      <t>Bledsoe County</t>
    </r>
  </si>
  <si>
    <r>
      <rPr>
        <sz val="8"/>
        <rFont val="Times New Roman"/>
        <family val="1"/>
      </rPr>
      <t>Bloomingdale Utility</t>
    </r>
  </si>
  <si>
    <r>
      <rPr>
        <sz val="8"/>
        <rFont val="Times New Roman"/>
        <family val="1"/>
      </rPr>
      <t>Blount Co Comm Act Agency</t>
    </r>
  </si>
  <si>
    <r>
      <rPr>
        <sz val="8"/>
        <rFont val="Times New Roman"/>
        <family val="1"/>
      </rPr>
      <t>Bolivar</t>
    </r>
  </si>
  <si>
    <r>
      <rPr>
        <sz val="8"/>
        <rFont val="Times New Roman"/>
        <family val="1"/>
      </rPr>
      <t>Bon Aqua Lyles Utility Dist</t>
    </r>
  </si>
  <si>
    <r>
      <rPr>
        <sz val="8"/>
        <rFont val="Times New Roman"/>
        <family val="1"/>
      </rPr>
      <t>Bon De Croft Utility</t>
    </r>
  </si>
  <si>
    <r>
      <rPr>
        <sz val="8"/>
        <rFont val="Times New Roman"/>
        <family val="1"/>
      </rPr>
      <t>Bountiful Basket Nutrition Program</t>
    </r>
  </si>
  <si>
    <r>
      <rPr>
        <sz val="8"/>
        <rFont val="Times New Roman"/>
        <family val="1"/>
      </rPr>
      <t>Bradley County Government</t>
    </r>
  </si>
  <si>
    <r>
      <rPr>
        <sz val="8"/>
        <rFont val="Times New Roman"/>
        <family val="1"/>
      </rPr>
      <t>Bradley Nursing</t>
    </r>
  </si>
  <si>
    <r>
      <rPr>
        <sz val="8"/>
        <rFont val="Times New Roman"/>
        <family val="1"/>
      </rPr>
      <t>Bradley/Cleveland Csa</t>
    </r>
  </si>
  <si>
    <r>
      <rPr>
        <sz val="8"/>
        <rFont val="Times New Roman"/>
        <family val="1"/>
      </rPr>
      <t>Bradley/Cleveland Svs. Inc</t>
    </r>
  </si>
  <si>
    <r>
      <rPr>
        <sz val="8"/>
        <rFont val="Times New Roman"/>
        <family val="1"/>
      </rPr>
      <t>Bridge Refugee Services</t>
    </r>
  </si>
  <si>
    <r>
      <rPr>
        <sz val="8"/>
        <rFont val="Times New Roman"/>
        <family val="1"/>
      </rPr>
      <t>Bridges Of Williamson Co</t>
    </r>
  </si>
  <si>
    <r>
      <rPr>
        <sz val="8"/>
        <rFont val="Times New Roman"/>
        <family val="1"/>
      </rPr>
      <t>Buffalo River Reg Lib</t>
    </r>
  </si>
  <si>
    <r>
      <rPr>
        <sz val="8"/>
        <rFont val="Times New Roman"/>
        <family val="1"/>
      </rPr>
      <t>Cagle-Fredonia Utility District</t>
    </r>
  </si>
  <si>
    <r>
      <rPr>
        <sz val="8"/>
        <rFont val="Times New Roman"/>
        <family val="1"/>
      </rPr>
      <t>Camden City</t>
    </r>
  </si>
  <si>
    <r>
      <rPr>
        <sz val="8"/>
        <rFont val="Times New Roman"/>
        <family val="1"/>
      </rPr>
      <t>Campaign for a HealthyRespTN</t>
    </r>
  </si>
  <si>
    <r>
      <rPr>
        <sz val="8"/>
        <rFont val="Times New Roman"/>
        <family val="1"/>
      </rPr>
      <t>Campbell Co 911</t>
    </r>
  </si>
  <si>
    <r>
      <rPr>
        <sz val="8"/>
        <rFont val="Times New Roman"/>
        <family val="1"/>
      </rPr>
      <t>Caney Fork Reg Lib</t>
    </r>
  </si>
  <si>
    <r>
      <rPr>
        <sz val="8"/>
        <rFont val="Times New Roman"/>
        <family val="1"/>
      </rPr>
      <t>Care Of Savannah</t>
    </r>
  </si>
  <si>
    <r>
      <rPr>
        <sz val="8"/>
        <rFont val="Times New Roman"/>
        <family val="1"/>
      </rPr>
      <t>Carey Counseling Center</t>
    </r>
  </si>
  <si>
    <r>
      <rPr>
        <sz val="8"/>
        <rFont val="Times New Roman"/>
        <family val="1"/>
      </rPr>
      <t>Carroll Co. E-911</t>
    </r>
  </si>
  <si>
    <r>
      <rPr>
        <sz val="8"/>
        <rFont val="Times New Roman"/>
        <family val="1"/>
      </rPr>
      <t>Carroll County Government</t>
    </r>
  </si>
  <si>
    <r>
      <rPr>
        <sz val="8"/>
        <rFont val="Times New Roman"/>
        <family val="1"/>
      </rPr>
      <t>Carroll County Highway Dept.</t>
    </r>
  </si>
  <si>
    <r>
      <rPr>
        <sz val="8"/>
        <rFont val="Times New Roman"/>
        <family val="1"/>
      </rPr>
      <t>Cary/Jacks Utility</t>
    </r>
  </si>
  <si>
    <r>
      <rPr>
        <sz val="8"/>
        <rFont val="Times New Roman"/>
        <family val="1"/>
      </rPr>
      <t>Casa Juvenile Sv Assn</t>
    </r>
  </si>
  <si>
    <r>
      <rPr>
        <sz val="8"/>
        <rFont val="Times New Roman"/>
        <family val="1"/>
      </rPr>
      <t>CASA of the 9th Judicial District</t>
    </r>
  </si>
  <si>
    <r>
      <rPr>
        <sz val="8"/>
        <rFont val="Times New Roman"/>
        <family val="1"/>
      </rPr>
      <t>CASA TN Heartland</t>
    </r>
  </si>
  <si>
    <r>
      <rPr>
        <sz val="8"/>
        <rFont val="Times New Roman"/>
        <family val="1"/>
      </rPr>
      <t>Castillian Springs-Bethpage Ut</t>
    </r>
  </si>
  <si>
    <r>
      <rPr>
        <sz val="8"/>
        <rFont val="Times New Roman"/>
        <family val="1"/>
      </rPr>
      <t>Cease, Inc</t>
    </r>
  </si>
  <si>
    <r>
      <rPr>
        <sz val="8"/>
        <rFont val="Times New Roman"/>
        <family val="1"/>
      </rPr>
      <t>Center For Indep Living</t>
    </r>
  </si>
  <si>
    <r>
      <rPr>
        <sz val="8"/>
        <rFont val="Times New Roman"/>
        <family val="1"/>
      </rPr>
      <t>Center For Living &amp; Learning</t>
    </r>
  </si>
  <si>
    <r>
      <rPr>
        <sz val="8"/>
        <rFont val="Times New Roman"/>
        <family val="1"/>
      </rPr>
      <t>Cerebral Palsy Center</t>
    </r>
  </si>
  <si>
    <r>
      <rPr>
        <sz val="8"/>
        <rFont val="Times New Roman"/>
        <family val="1"/>
      </rPr>
      <t>Chamber Of Commerce</t>
    </r>
  </si>
  <si>
    <r>
      <rPr>
        <sz val="8"/>
        <rFont val="Times New Roman"/>
        <family val="1"/>
      </rPr>
      <t>Chattanooga Cares Inc</t>
    </r>
  </si>
  <si>
    <r>
      <rPr>
        <sz val="8"/>
        <rFont val="Times New Roman"/>
        <family val="1"/>
      </rPr>
      <t>Chattanooga Endeavors</t>
    </r>
  </si>
  <si>
    <r>
      <rPr>
        <sz val="8"/>
        <rFont val="Times New Roman"/>
        <family val="1"/>
      </rPr>
      <t>Chattanooga Housing Authority</t>
    </r>
  </si>
  <si>
    <r>
      <rPr>
        <sz val="8"/>
        <rFont val="Times New Roman"/>
        <family val="1"/>
      </rPr>
      <t>Cheatham Co. Government</t>
    </r>
  </si>
  <si>
    <r>
      <rPr>
        <sz val="8"/>
        <rFont val="Times New Roman"/>
        <family val="1"/>
      </rPr>
      <t>Cheatham Co. Highway Dept.</t>
    </r>
  </si>
  <si>
    <r>
      <rPr>
        <sz val="8"/>
        <rFont val="Times New Roman"/>
        <family val="1"/>
      </rPr>
      <t>Chester Co Highway Dept</t>
    </r>
  </si>
  <si>
    <r>
      <rPr>
        <sz val="8"/>
        <rFont val="Times New Roman"/>
        <family val="1"/>
      </rPr>
      <t>Chester Co. Government</t>
    </r>
  </si>
  <si>
    <r>
      <rPr>
        <sz val="8"/>
        <rFont val="Times New Roman"/>
        <family val="1"/>
      </rPr>
      <t>Children's Advocacy Center, 31st J.D.</t>
    </r>
  </si>
  <si>
    <r>
      <rPr>
        <sz val="8"/>
        <rFont val="Times New Roman"/>
        <family val="1"/>
      </rPr>
      <t>Children'S Advocacy Ctr</t>
    </r>
  </si>
  <si>
    <r>
      <rPr>
        <sz val="8"/>
        <rFont val="Times New Roman"/>
        <family val="1"/>
      </rPr>
      <t>City of Belle Meade</t>
    </r>
  </si>
  <si>
    <r>
      <rPr>
        <sz val="8"/>
        <rFont val="Times New Roman"/>
        <family val="1"/>
      </rPr>
      <t>City Of Big Sandy</t>
    </r>
  </si>
  <si>
    <r>
      <rPr>
        <sz val="8"/>
        <rFont val="Times New Roman"/>
        <family val="1"/>
      </rPr>
      <t>City Of Clifton</t>
    </r>
  </si>
  <si>
    <r>
      <rPr>
        <sz val="8"/>
        <rFont val="Times New Roman"/>
        <family val="1"/>
      </rPr>
      <t>City Of Collegedale</t>
    </r>
  </si>
  <si>
    <r>
      <rPr>
        <sz val="8"/>
        <rFont val="Times New Roman"/>
        <family val="1"/>
      </rPr>
      <t>City Of Cross Plains</t>
    </r>
  </si>
  <si>
    <r>
      <rPr>
        <sz val="8"/>
        <rFont val="Times New Roman"/>
        <family val="1"/>
      </rPr>
      <t>City Of Dayton</t>
    </r>
  </si>
  <si>
    <r>
      <rPr>
        <sz val="8"/>
        <rFont val="Times New Roman"/>
        <family val="1"/>
      </rPr>
      <t>City Of Decherd</t>
    </r>
  </si>
  <si>
    <r>
      <rPr>
        <sz val="8"/>
        <rFont val="Times New Roman"/>
        <family val="1"/>
      </rPr>
      <t>City Of Dresden</t>
    </r>
  </si>
  <si>
    <r>
      <rPr>
        <sz val="8"/>
        <rFont val="Times New Roman"/>
        <family val="1"/>
      </rPr>
      <t>City Of Dunlap</t>
    </r>
  </si>
  <si>
    <r>
      <rPr>
        <sz val="8"/>
        <rFont val="Times New Roman"/>
        <family val="1"/>
      </rPr>
      <t>City of Eastridge</t>
    </r>
  </si>
  <si>
    <r>
      <rPr>
        <sz val="8"/>
        <rFont val="Times New Roman"/>
        <family val="1"/>
      </rPr>
      <t>City Of Erin</t>
    </r>
  </si>
  <si>
    <r>
      <rPr>
        <sz val="8"/>
        <rFont val="Times New Roman"/>
        <family val="1"/>
      </rPr>
      <t>City Of Ethridge</t>
    </r>
  </si>
  <si>
    <r>
      <rPr>
        <sz val="8"/>
        <rFont val="Times New Roman"/>
        <family val="1"/>
      </rPr>
      <t>City of Forest hill</t>
    </r>
  </si>
  <si>
    <r>
      <rPr>
        <sz val="8"/>
        <rFont val="Times New Roman"/>
        <family val="1"/>
      </rPr>
      <t>City Of Gleason</t>
    </r>
  </si>
  <si>
    <r>
      <rPr>
        <sz val="8"/>
        <rFont val="Times New Roman"/>
        <family val="1"/>
      </rPr>
      <t>City Of Greenbrier</t>
    </r>
  </si>
  <si>
    <r>
      <rPr>
        <sz val="8"/>
        <rFont val="Times New Roman"/>
        <family val="1"/>
      </rPr>
      <t>City of Harriman</t>
    </r>
  </si>
  <si>
    <r>
      <rPr>
        <sz val="8"/>
        <rFont val="Times New Roman"/>
        <family val="1"/>
      </rPr>
      <t>City of Hohenwald</t>
    </r>
  </si>
  <si>
    <r>
      <rPr>
        <sz val="8"/>
        <rFont val="Times New Roman"/>
        <family val="1"/>
      </rPr>
      <t>City of Humboldt</t>
    </r>
  </si>
  <si>
    <r>
      <rPr>
        <sz val="8"/>
        <rFont val="Times New Roman"/>
        <family val="1"/>
      </rPr>
      <t>City Of Jamestown</t>
    </r>
  </si>
  <si>
    <r>
      <rPr>
        <sz val="8"/>
        <rFont val="Times New Roman"/>
        <family val="1"/>
      </rPr>
      <t>City Of Kingston</t>
    </r>
  </si>
  <si>
    <r>
      <rPr>
        <sz val="8"/>
        <rFont val="Times New Roman"/>
        <family val="1"/>
      </rPr>
      <t>City Of Lafayette</t>
    </r>
  </si>
  <si>
    <r>
      <rPr>
        <sz val="8"/>
        <rFont val="Times New Roman"/>
        <family val="1"/>
      </rPr>
      <t>City Of Lakeland</t>
    </r>
  </si>
  <si>
    <r>
      <rPr>
        <sz val="8"/>
        <rFont val="Times New Roman"/>
        <family val="1"/>
      </rPr>
      <t>City Of Lakesite</t>
    </r>
  </si>
  <si>
    <r>
      <rPr>
        <sz val="8"/>
        <rFont val="Times New Roman"/>
        <family val="1"/>
      </rPr>
      <t>City of Lakewood</t>
    </r>
  </si>
  <si>
    <r>
      <rPr>
        <sz val="8"/>
        <rFont val="Times New Roman"/>
        <family val="1"/>
      </rPr>
      <t>City of Lawrenceburg</t>
    </r>
  </si>
  <si>
    <r>
      <rPr>
        <sz val="8"/>
        <rFont val="Times New Roman"/>
        <family val="1"/>
      </rPr>
      <t>City Of Lexington</t>
    </r>
  </si>
  <si>
    <r>
      <rPr>
        <sz val="8"/>
        <rFont val="Times New Roman"/>
        <family val="1"/>
      </rPr>
      <t>City Of Lobelville</t>
    </r>
  </si>
  <si>
    <r>
      <rPr>
        <sz val="8"/>
        <rFont val="Times New Roman"/>
        <family val="1"/>
      </rPr>
      <t>City Of Loretto</t>
    </r>
  </si>
  <si>
    <r>
      <rPr>
        <sz val="8"/>
        <rFont val="Times New Roman"/>
        <family val="1"/>
      </rPr>
      <t>City Of Lynnville</t>
    </r>
  </si>
  <si>
    <r>
      <rPr>
        <sz val="8"/>
        <rFont val="Times New Roman"/>
        <family val="1"/>
      </rPr>
      <t>City of Manchester</t>
    </r>
  </si>
  <si>
    <r>
      <rPr>
        <sz val="8"/>
        <rFont val="Times New Roman"/>
        <family val="1"/>
      </rPr>
      <t>City of Michie</t>
    </r>
  </si>
  <si>
    <r>
      <rPr>
        <sz val="8"/>
        <rFont val="Times New Roman"/>
        <family val="1"/>
      </rPr>
      <t>City of Michie Water Systems</t>
    </r>
  </si>
  <si>
    <r>
      <rPr>
        <sz val="8"/>
        <rFont val="Times New Roman"/>
        <family val="1"/>
      </rPr>
      <t>City Of New Johnsonville</t>
    </r>
  </si>
  <si>
    <r>
      <rPr>
        <sz val="8"/>
        <rFont val="Times New Roman"/>
        <family val="1"/>
      </rPr>
      <t>City of Newbern</t>
    </r>
  </si>
  <si>
    <r>
      <rPr>
        <sz val="8"/>
        <rFont val="Times New Roman"/>
        <family val="1"/>
      </rPr>
      <t>City of Oak Ridge</t>
    </r>
  </si>
  <si>
    <r>
      <rPr>
        <sz val="8"/>
        <rFont val="Times New Roman"/>
        <family val="1"/>
      </rPr>
      <t>City Of Parsons</t>
    </r>
  </si>
  <si>
    <r>
      <rPr>
        <sz val="8"/>
        <rFont val="Times New Roman"/>
        <family val="1"/>
      </rPr>
      <t>City of Portland</t>
    </r>
  </si>
  <si>
    <r>
      <rPr>
        <sz val="8"/>
        <rFont val="Times New Roman"/>
        <family val="1"/>
      </rPr>
      <t>City Of Puryear</t>
    </r>
  </si>
  <si>
    <r>
      <rPr>
        <sz val="8"/>
        <rFont val="Times New Roman"/>
        <family val="1"/>
      </rPr>
      <t>City of Ripley</t>
    </r>
  </si>
  <si>
    <r>
      <rPr>
        <sz val="8"/>
        <rFont val="Times New Roman"/>
        <family val="1"/>
      </rPr>
      <t>City Of Sharon</t>
    </r>
  </si>
  <si>
    <r>
      <rPr>
        <sz val="8"/>
        <rFont val="Times New Roman"/>
        <family val="1"/>
      </rPr>
      <t>City Of Smithville</t>
    </r>
  </si>
  <si>
    <r>
      <rPr>
        <sz val="8"/>
        <rFont val="Times New Roman"/>
        <family val="1"/>
      </rPr>
      <t>City Of South Pittsburg</t>
    </r>
  </si>
  <si>
    <r>
      <rPr>
        <sz val="8"/>
        <rFont val="Times New Roman"/>
        <family val="1"/>
      </rPr>
      <t>City Of Tiptonville</t>
    </r>
  </si>
  <si>
    <r>
      <rPr>
        <sz val="8"/>
        <rFont val="Times New Roman"/>
        <family val="1"/>
      </rPr>
      <t>City Of Wartburg</t>
    </r>
  </si>
  <si>
    <r>
      <rPr>
        <sz val="8"/>
        <rFont val="Times New Roman"/>
        <family val="1"/>
      </rPr>
      <t>City Of Waverly</t>
    </r>
  </si>
  <si>
    <r>
      <rPr>
        <sz val="8"/>
        <rFont val="Times New Roman"/>
        <family val="1"/>
      </rPr>
      <t>City of Waynesboro</t>
    </r>
  </si>
  <si>
    <r>
      <rPr>
        <sz val="8"/>
        <rFont val="Times New Roman"/>
        <family val="1"/>
      </rPr>
      <t>City Of White Bluff</t>
    </r>
  </si>
  <si>
    <r>
      <rPr>
        <sz val="8"/>
        <rFont val="Times New Roman"/>
        <family val="1"/>
      </rPr>
      <t>Claiborne Co Hwy.</t>
    </r>
  </si>
  <si>
    <r>
      <rPr>
        <sz val="8"/>
        <rFont val="Times New Roman"/>
        <family val="1"/>
      </rPr>
      <t>Clarksville Gas Water Sewer</t>
    </r>
  </si>
  <si>
    <r>
      <rPr>
        <sz val="8"/>
        <rFont val="Times New Roman"/>
        <family val="1"/>
      </rPr>
      <t>Clarksville General Fund</t>
    </r>
  </si>
  <si>
    <r>
      <rPr>
        <sz val="8"/>
        <rFont val="Times New Roman"/>
        <family val="1"/>
      </rPr>
      <t>Clarksville Housing</t>
    </r>
  </si>
  <si>
    <r>
      <rPr>
        <sz val="8"/>
        <rFont val="Times New Roman"/>
        <family val="1"/>
      </rPr>
      <t>Clarksville Public Safety</t>
    </r>
  </si>
  <si>
    <r>
      <rPr>
        <sz val="8"/>
        <rFont val="Times New Roman"/>
        <family val="1"/>
      </rPr>
      <t>Clarksville Transportation</t>
    </r>
  </si>
  <si>
    <r>
      <rPr>
        <sz val="8"/>
        <rFont val="Times New Roman"/>
        <family val="1"/>
      </rPr>
      <t>Clarksville/Montgomery Caa</t>
    </r>
  </si>
  <si>
    <r>
      <rPr>
        <sz val="8"/>
        <rFont val="Times New Roman"/>
        <family val="1"/>
      </rPr>
      <t>Clearfork Utility</t>
    </r>
  </si>
  <si>
    <r>
      <rPr>
        <sz val="8"/>
        <rFont val="Times New Roman"/>
        <family val="1"/>
      </rPr>
      <t>Clinchfield Sr Adult Ctr</t>
    </r>
  </si>
  <si>
    <r>
      <rPr>
        <sz val="8"/>
        <rFont val="Times New Roman"/>
        <family val="1"/>
      </rPr>
      <t>Clinch-Powell Educational Cooperation</t>
    </r>
  </si>
  <si>
    <r>
      <rPr>
        <sz val="8"/>
        <rFont val="Times New Roman"/>
        <family val="1"/>
      </rPr>
      <t>Clinton Fire and Police</t>
    </r>
  </si>
  <si>
    <r>
      <rPr>
        <sz val="8"/>
        <rFont val="Times New Roman"/>
        <family val="1"/>
      </rPr>
      <t>Clinton Housing Authority</t>
    </r>
  </si>
  <si>
    <r>
      <rPr>
        <sz val="8"/>
        <rFont val="Times New Roman"/>
        <family val="1"/>
      </rPr>
      <t>Cnty Officials Assoc. of TN</t>
    </r>
  </si>
  <si>
    <r>
      <rPr>
        <sz val="8"/>
        <rFont val="Times New Roman"/>
        <family val="1"/>
      </rPr>
      <t>Cocaine Alcohol Awareness Program, Inc.</t>
    </r>
  </si>
  <si>
    <r>
      <rPr>
        <sz val="8"/>
        <rFont val="Times New Roman"/>
        <family val="1"/>
      </rPr>
      <t>Cocke Co 911</t>
    </r>
  </si>
  <si>
    <r>
      <rPr>
        <sz val="8"/>
        <rFont val="Times New Roman"/>
        <family val="1"/>
      </rPr>
      <t>Cocke County</t>
    </r>
  </si>
  <si>
    <r>
      <rPr>
        <sz val="8"/>
        <rFont val="Times New Roman"/>
        <family val="1"/>
      </rPr>
      <t>Cocke County Highway Department</t>
    </r>
  </si>
  <si>
    <r>
      <rPr>
        <sz val="8"/>
        <rFont val="Times New Roman"/>
        <family val="1"/>
      </rPr>
      <t>Coffee County</t>
    </r>
  </si>
  <si>
    <r>
      <rPr>
        <sz val="8"/>
        <rFont val="Times New Roman"/>
        <family val="1"/>
      </rPr>
      <t>Community Anti-Drug Coalition</t>
    </r>
  </si>
  <si>
    <r>
      <rPr>
        <sz val="8"/>
        <rFont val="Times New Roman"/>
        <family val="1"/>
      </rPr>
      <t>Community Development Ctr</t>
    </r>
  </si>
  <si>
    <r>
      <rPr>
        <sz val="8"/>
        <rFont val="Times New Roman"/>
        <family val="1"/>
      </rPr>
      <t>Community Foundation Of Middle TN</t>
    </r>
  </si>
  <si>
    <r>
      <rPr>
        <sz val="8"/>
        <rFont val="Times New Roman"/>
        <family val="1"/>
      </rPr>
      <t>Community Hlth</t>
    </r>
  </si>
  <si>
    <r>
      <rPr>
        <sz val="8"/>
        <rFont val="Times New Roman"/>
        <family val="1"/>
      </rPr>
      <t>Community Network Svs.</t>
    </r>
  </si>
  <si>
    <r>
      <rPr>
        <sz val="8"/>
        <rFont val="Times New Roman"/>
        <family val="1"/>
      </rPr>
      <t>Comprehensive Care Center</t>
    </r>
  </si>
  <si>
    <r>
      <rPr>
        <sz val="8"/>
        <rFont val="Times New Roman"/>
        <family val="1"/>
      </rPr>
      <t>Cookville Boat Dock utility</t>
    </r>
  </si>
  <si>
    <r>
      <rPr>
        <sz val="8"/>
        <rFont val="Times New Roman"/>
        <family val="1"/>
      </rPr>
      <t>Cordell Hull Utility District</t>
    </r>
  </si>
  <si>
    <r>
      <rPr>
        <sz val="8"/>
        <rFont val="Times New Roman"/>
        <family val="1"/>
      </rPr>
      <t>Core Services of Northeast Tennessee</t>
    </r>
  </si>
  <si>
    <r>
      <rPr>
        <sz val="8"/>
        <rFont val="Times New Roman"/>
        <family val="1"/>
      </rPr>
      <t>Cornerstone</t>
    </r>
  </si>
  <si>
    <r>
      <rPr>
        <sz val="8"/>
        <rFont val="Times New Roman"/>
        <family val="1"/>
      </rPr>
      <t>County Wide Utility District</t>
    </r>
  </si>
  <si>
    <r>
      <rPr>
        <sz val="8"/>
        <rFont val="Times New Roman"/>
        <family val="1"/>
      </rPr>
      <t>Court Appointed Spec. Advoc.</t>
    </r>
  </si>
  <si>
    <r>
      <rPr>
        <sz val="8"/>
        <rFont val="Times New Roman"/>
        <family val="1"/>
      </rPr>
      <t>Crab Orchard Utility Dist</t>
    </r>
  </si>
  <si>
    <r>
      <rPr>
        <sz val="8"/>
        <rFont val="Times New Roman"/>
        <family val="1"/>
      </rPr>
      <t>Crisis Intervention</t>
    </r>
  </si>
  <si>
    <r>
      <rPr>
        <sz val="8"/>
        <rFont val="Times New Roman"/>
        <family val="1"/>
      </rPr>
      <t>Crockett County Government</t>
    </r>
  </si>
  <si>
    <r>
      <rPr>
        <sz val="8"/>
        <rFont val="Times New Roman"/>
        <family val="1"/>
      </rPr>
      <t>Crockett County Highway</t>
    </r>
  </si>
  <si>
    <r>
      <rPr>
        <sz val="8"/>
        <rFont val="Times New Roman"/>
        <family val="1"/>
      </rPr>
      <t>Crockett Public Utility</t>
    </r>
  </si>
  <si>
    <r>
      <rPr>
        <sz val="8"/>
        <rFont val="Times New Roman"/>
        <family val="1"/>
      </rPr>
      <t>Cumberland Comm Options</t>
    </r>
  </si>
  <si>
    <r>
      <rPr>
        <sz val="8"/>
        <rFont val="Times New Roman"/>
        <family val="1"/>
      </rPr>
      <t>Cumberland County</t>
    </r>
  </si>
  <si>
    <r>
      <rPr>
        <sz val="8"/>
        <rFont val="Times New Roman"/>
        <family val="1"/>
      </rPr>
      <t>Cumberland Heights</t>
    </r>
  </si>
  <si>
    <r>
      <rPr>
        <sz val="8"/>
        <rFont val="Times New Roman"/>
        <family val="1"/>
      </rPr>
      <t>Cumberland Utility Dist</t>
    </r>
  </si>
  <si>
    <r>
      <rPr>
        <sz val="8"/>
        <rFont val="Times New Roman"/>
        <family val="1"/>
      </rPr>
      <t>Cunningham Utility</t>
    </r>
  </si>
  <si>
    <r>
      <rPr>
        <sz val="8"/>
        <rFont val="Times New Roman"/>
        <family val="1"/>
      </rPr>
      <t>Dandridge, Town of</t>
    </r>
  </si>
  <si>
    <r>
      <rPr>
        <sz val="8"/>
        <rFont val="Times New Roman"/>
        <family val="1"/>
      </rPr>
      <t>Decatur County Government</t>
    </r>
  </si>
  <si>
    <r>
      <rPr>
        <sz val="8"/>
        <rFont val="Times New Roman"/>
        <family val="1"/>
      </rPr>
      <t>Decatur County Highway Department</t>
    </r>
  </si>
  <si>
    <r>
      <rPr>
        <sz val="8"/>
        <rFont val="Times New Roman"/>
        <family val="1"/>
      </rPr>
      <t>Dekalb County</t>
    </r>
  </si>
  <si>
    <r>
      <rPr>
        <sz val="8"/>
        <rFont val="Times New Roman"/>
        <family val="1"/>
      </rPr>
      <t>Dekalb County 911</t>
    </r>
  </si>
  <si>
    <r>
      <rPr>
        <sz val="8"/>
        <rFont val="Times New Roman"/>
        <family val="1"/>
      </rPr>
      <t>Dewhite Utility</t>
    </r>
  </si>
  <si>
    <r>
      <rPr>
        <sz val="8"/>
        <rFont val="Times New Roman"/>
        <family val="1"/>
      </rPr>
      <t>Dickson Electric System</t>
    </r>
  </si>
  <si>
    <r>
      <rPr>
        <sz val="8"/>
        <rFont val="Times New Roman"/>
        <family val="1"/>
      </rPr>
      <t>Disability Resource Center</t>
    </r>
  </si>
  <si>
    <r>
      <rPr>
        <sz val="8"/>
        <rFont val="Times New Roman"/>
        <family val="1"/>
      </rPr>
      <t>Dismas, Inc.</t>
    </r>
  </si>
  <si>
    <r>
      <rPr>
        <sz val="8"/>
        <rFont val="Times New Roman"/>
        <family val="1"/>
      </rPr>
      <t>Downtown Ministries</t>
    </r>
  </si>
  <si>
    <r>
      <rPr>
        <sz val="8"/>
        <rFont val="Times New Roman"/>
        <family val="1"/>
      </rPr>
      <t>Duck River Utility Commission</t>
    </r>
  </si>
  <si>
    <r>
      <rPr>
        <sz val="8"/>
        <rFont val="Times New Roman"/>
        <family val="1"/>
      </rPr>
      <t>Dyersburg Housing Authority</t>
    </r>
  </si>
  <si>
    <r>
      <rPr>
        <sz val="8"/>
        <rFont val="Times New Roman"/>
        <family val="1"/>
      </rPr>
      <t>Dyersburg Suburban Consolidated Utility District</t>
    </r>
  </si>
  <si>
    <r>
      <rPr>
        <sz val="8"/>
        <rFont val="Times New Roman"/>
        <family val="1"/>
      </rPr>
      <t>Eagleville, City of</t>
    </r>
  </si>
  <si>
    <r>
      <rPr>
        <sz val="8"/>
        <rFont val="Times New Roman"/>
        <family val="1"/>
      </rPr>
      <t>East TN Cha</t>
    </r>
  </si>
  <si>
    <r>
      <rPr>
        <sz val="8"/>
        <rFont val="Times New Roman"/>
        <family val="1"/>
      </rPr>
      <t>East TN Development Dist</t>
    </r>
  </si>
  <si>
    <r>
      <rPr>
        <sz val="8"/>
        <rFont val="Times New Roman"/>
        <family val="1"/>
      </rPr>
      <t>East TN Foundation</t>
    </r>
  </si>
  <si>
    <r>
      <rPr>
        <sz val="8"/>
        <rFont val="Times New Roman"/>
        <family val="1"/>
      </rPr>
      <t>Easter Seals of TN</t>
    </r>
  </si>
  <si>
    <r>
      <rPr>
        <sz val="8"/>
        <rFont val="Times New Roman"/>
        <family val="1"/>
      </rPr>
      <t>Eastside Util Dist</t>
    </r>
  </si>
  <si>
    <r>
      <rPr>
        <sz val="8"/>
        <rFont val="Times New Roman"/>
        <family val="1"/>
      </rPr>
      <t>Elkton, City of</t>
    </r>
  </si>
  <si>
    <r>
      <rPr>
        <sz val="8"/>
        <rFont val="Times New Roman"/>
        <family val="1"/>
      </rPr>
      <t>Erin Housing Authority</t>
    </r>
  </si>
  <si>
    <r>
      <rPr>
        <sz val="8"/>
        <rFont val="Times New Roman"/>
        <family val="1"/>
      </rPr>
      <t>Estill Springs</t>
    </r>
  </si>
  <si>
    <r>
      <rPr>
        <sz val="8"/>
        <rFont val="Times New Roman"/>
        <family val="1"/>
      </rPr>
      <t>Fairview Utility</t>
    </r>
  </si>
  <si>
    <r>
      <rPr>
        <sz val="8"/>
        <rFont val="Times New Roman"/>
        <family val="1"/>
      </rPr>
      <t>Fayette County 911</t>
    </r>
  </si>
  <si>
    <r>
      <rPr>
        <sz val="8"/>
        <rFont val="Times New Roman"/>
        <family val="1"/>
      </rPr>
      <t>Fayette County Government</t>
    </r>
  </si>
  <si>
    <r>
      <rPr>
        <sz val="8"/>
        <rFont val="Times New Roman"/>
        <family val="1"/>
      </rPr>
      <t>Fayette County Public Works Dept.</t>
    </r>
  </si>
  <si>
    <r>
      <rPr>
        <sz val="8"/>
        <rFont val="Times New Roman"/>
        <family val="1"/>
      </rPr>
      <t>Fayetteville Housing Authority</t>
    </r>
  </si>
  <si>
    <r>
      <rPr>
        <sz val="8"/>
        <rFont val="Times New Roman"/>
        <family val="1"/>
      </rPr>
      <t>Fayetteville Li</t>
    </r>
  </si>
  <si>
    <r>
      <rPr>
        <sz val="8"/>
        <rFont val="Times New Roman"/>
        <family val="1"/>
      </rPr>
      <t>Fentress Co. Government</t>
    </r>
  </si>
  <si>
    <r>
      <rPr>
        <sz val="8"/>
        <rFont val="Times New Roman"/>
        <family val="1"/>
      </rPr>
      <t>Fentress County Emergency Communications</t>
    </r>
  </si>
  <si>
    <r>
      <rPr>
        <sz val="8"/>
        <rFont val="Times New Roman"/>
        <family val="1"/>
      </rPr>
      <t>First Utility District of Hardin County</t>
    </r>
  </si>
  <si>
    <r>
      <rPr>
        <sz val="8"/>
        <rFont val="Times New Roman"/>
        <family val="1"/>
      </rPr>
      <t>First Utility District of Hawkins Co</t>
    </r>
  </si>
  <si>
    <r>
      <rPr>
        <sz val="8"/>
        <rFont val="Times New Roman"/>
        <family val="1"/>
      </rPr>
      <t>First Utlity Dist Of Tipton Co</t>
    </r>
  </si>
  <si>
    <r>
      <rPr>
        <sz val="8"/>
        <rFont val="Times New Roman"/>
        <family val="1"/>
      </rPr>
      <t>Forked Deer Reg Lib</t>
    </r>
  </si>
  <si>
    <r>
      <rPr>
        <sz val="8"/>
        <rFont val="Times New Roman"/>
        <family val="1"/>
      </rPr>
      <t>Former Insurance Participant</t>
    </r>
  </si>
  <si>
    <r>
      <rPr>
        <sz val="8"/>
        <rFont val="Times New Roman"/>
        <family val="1"/>
      </rPr>
      <t>Four Lake Regional Ind Dev Aut</t>
    </r>
  </si>
  <si>
    <r>
      <rPr>
        <sz val="8"/>
        <rFont val="Times New Roman"/>
        <family val="1"/>
      </rPr>
      <t>Franklin Co Adult Activity Ctr</t>
    </r>
  </si>
  <si>
    <r>
      <rPr>
        <sz val="8"/>
        <rFont val="Times New Roman"/>
        <family val="1"/>
      </rPr>
      <t>Franklin Co Government</t>
    </r>
  </si>
  <si>
    <r>
      <rPr>
        <sz val="8"/>
        <rFont val="Times New Roman"/>
        <family val="1"/>
      </rPr>
      <t>Franklin Co Industrial Dev Bd</t>
    </r>
  </si>
  <si>
    <r>
      <rPr>
        <sz val="8"/>
        <rFont val="Times New Roman"/>
        <family val="1"/>
      </rPr>
      <t>Franklin Co. Hwy. Dept.</t>
    </r>
  </si>
  <si>
    <r>
      <rPr>
        <sz val="8"/>
        <rFont val="Times New Roman"/>
        <family val="1"/>
      </rPr>
      <t>Franklin County Consolidated Housing Authority</t>
    </r>
  </si>
  <si>
    <r>
      <rPr>
        <sz val="8"/>
        <rFont val="Times New Roman"/>
        <family val="1"/>
      </rPr>
      <t>Friendship City</t>
    </r>
  </si>
  <si>
    <r>
      <rPr>
        <sz val="8"/>
        <rFont val="Times New Roman"/>
        <family val="1"/>
      </rPr>
      <t>Ft Loudon Reg Lib</t>
    </r>
  </si>
  <si>
    <r>
      <rPr>
        <sz val="8"/>
        <rFont val="Times New Roman"/>
        <family val="1"/>
      </rPr>
      <t>Gainesboro, Town of</t>
    </r>
  </si>
  <si>
    <r>
      <rPr>
        <sz val="8"/>
        <rFont val="Times New Roman"/>
        <family val="1"/>
      </rPr>
      <t>Gallatin Housing Authority</t>
    </r>
  </si>
  <si>
    <r>
      <rPr>
        <sz val="8"/>
        <rFont val="Times New Roman"/>
        <family val="1"/>
      </rPr>
      <t>Galloway, City of</t>
    </r>
  </si>
  <si>
    <r>
      <rPr>
        <sz val="8"/>
        <rFont val="Times New Roman"/>
        <family val="1"/>
      </rPr>
      <t>Gibson Co Mun Water Dist</t>
    </r>
  </si>
  <si>
    <r>
      <rPr>
        <sz val="8"/>
        <rFont val="Times New Roman"/>
        <family val="1"/>
      </rPr>
      <t>Giles Co E-911</t>
    </r>
  </si>
  <si>
    <r>
      <rPr>
        <sz val="8"/>
        <rFont val="Times New Roman"/>
        <family val="1"/>
      </rPr>
      <t>Giles County</t>
    </r>
  </si>
  <si>
    <r>
      <rPr>
        <sz val="8"/>
        <rFont val="Times New Roman"/>
        <family val="1"/>
      </rPr>
      <t>Gladeville Utility Dist</t>
    </r>
  </si>
  <si>
    <r>
      <rPr>
        <sz val="8"/>
        <rFont val="Times New Roman"/>
        <family val="1"/>
      </rPr>
      <t>Good Neighbor Mission &amp; Crisis</t>
    </r>
  </si>
  <si>
    <r>
      <rPr>
        <sz val="8"/>
        <rFont val="Times New Roman"/>
        <family val="1"/>
      </rPr>
      <t>Goodlettsville Board Members</t>
    </r>
  </si>
  <si>
    <r>
      <rPr>
        <sz val="8"/>
        <rFont val="Times New Roman"/>
        <family val="1"/>
      </rPr>
      <t>Goodlettsville, City of</t>
    </r>
  </si>
  <si>
    <r>
      <rPr>
        <sz val="8"/>
        <rFont val="Times New Roman"/>
        <family val="1"/>
      </rPr>
      <t>Goodwill-Knox</t>
    </r>
  </si>
  <si>
    <r>
      <rPr>
        <sz val="8"/>
        <rFont val="Times New Roman"/>
        <family val="1"/>
      </rPr>
      <t>Gorham MacBane Library</t>
    </r>
  </si>
  <si>
    <r>
      <rPr>
        <sz val="8"/>
        <rFont val="Times New Roman"/>
        <family val="1"/>
      </rPr>
      <t>Great Nashville Regional Council</t>
    </r>
  </si>
  <si>
    <r>
      <rPr>
        <sz val="8"/>
        <rFont val="Times New Roman"/>
        <family val="1"/>
      </rPr>
      <t>Greeneville Fire and Police</t>
    </r>
  </si>
  <si>
    <r>
      <rPr>
        <sz val="8"/>
        <rFont val="Times New Roman"/>
        <family val="1"/>
      </rPr>
      <t>Greeneville Water Comm</t>
    </r>
  </si>
  <si>
    <r>
      <rPr>
        <sz val="8"/>
        <rFont val="Times New Roman"/>
        <family val="1"/>
      </rPr>
      <t>Greeneville, Town of</t>
    </r>
  </si>
  <si>
    <r>
      <rPr>
        <sz val="8"/>
        <rFont val="Times New Roman"/>
        <family val="1"/>
      </rPr>
      <t>Grundy County Government</t>
    </r>
  </si>
  <si>
    <r>
      <rPr>
        <sz val="8"/>
        <rFont val="Times New Roman"/>
        <family val="1"/>
      </rPr>
      <t>Grundy County Highway</t>
    </r>
  </si>
  <si>
    <r>
      <rPr>
        <sz val="8"/>
        <rFont val="Times New Roman"/>
        <family val="1"/>
      </rPr>
      <t>Grundy Emergency Med Svs.</t>
    </r>
  </si>
  <si>
    <r>
      <rPr>
        <sz val="8"/>
        <rFont val="Times New Roman"/>
        <family val="1"/>
      </rPr>
      <t>Grundy Housing Authority</t>
    </r>
  </si>
  <si>
    <r>
      <rPr>
        <sz val="8"/>
        <rFont val="Times New Roman"/>
        <family val="1"/>
      </rPr>
      <t>Habitation and Training Services</t>
    </r>
  </si>
  <si>
    <r>
      <rPr>
        <sz val="8"/>
        <rFont val="Times New Roman"/>
        <family val="1"/>
      </rPr>
      <t>Hamblen Co Courthouse</t>
    </r>
  </si>
  <si>
    <r>
      <rPr>
        <sz val="8"/>
        <rFont val="Times New Roman"/>
        <family val="1"/>
      </rPr>
      <t>Hamblen County Board Members</t>
    </r>
  </si>
  <si>
    <r>
      <rPr>
        <sz val="8"/>
        <rFont val="Times New Roman"/>
        <family val="1"/>
      </rPr>
      <t>Hamblen County Garbage Collectors</t>
    </r>
  </si>
  <si>
    <r>
      <rPr>
        <sz val="8"/>
        <rFont val="Times New Roman"/>
        <family val="1"/>
      </rPr>
      <t>Hamblen County Highway Commish</t>
    </r>
  </si>
  <si>
    <r>
      <rPr>
        <sz val="8"/>
        <rFont val="Times New Roman"/>
        <family val="1"/>
      </rPr>
      <t>Hamblen County Highway Dept</t>
    </r>
  </si>
  <si>
    <r>
      <rPr>
        <sz val="8"/>
        <rFont val="Times New Roman"/>
        <family val="1"/>
      </rPr>
      <t>Hamblen County Public Safety</t>
    </r>
  </si>
  <si>
    <r>
      <rPr>
        <sz val="8"/>
        <rFont val="Times New Roman"/>
        <family val="1"/>
      </rPr>
      <t>HamblenCounty Parks</t>
    </r>
  </si>
  <si>
    <r>
      <rPr>
        <sz val="8"/>
        <rFont val="Times New Roman"/>
        <family val="1"/>
      </rPr>
      <t>Hamilton Co 911</t>
    </r>
  </si>
  <si>
    <r>
      <rPr>
        <sz val="8"/>
        <rFont val="Times New Roman"/>
        <family val="1"/>
      </rPr>
      <t>Hancock County Gov</t>
    </r>
  </si>
  <si>
    <r>
      <rPr>
        <sz val="8"/>
        <rFont val="Times New Roman"/>
        <family val="1"/>
      </rPr>
      <t>Hardeman-Fayette Utility</t>
    </r>
  </si>
  <si>
    <r>
      <rPr>
        <sz val="8"/>
        <rFont val="Times New Roman"/>
        <family val="1"/>
      </rPr>
      <t>Hardin Co Skills</t>
    </r>
  </si>
  <si>
    <r>
      <rPr>
        <sz val="8"/>
        <rFont val="Times New Roman"/>
        <family val="1"/>
      </rPr>
      <t>Hardin County 911</t>
    </r>
  </si>
  <si>
    <r>
      <rPr>
        <sz val="8"/>
        <rFont val="Times New Roman"/>
        <family val="1"/>
      </rPr>
      <t>Hardin County Government</t>
    </r>
  </si>
  <si>
    <r>
      <rPr>
        <sz val="8"/>
        <rFont val="Times New Roman"/>
        <family val="1"/>
      </rPr>
      <t>Harpeth Valley Utilities Distr</t>
    </r>
  </si>
  <si>
    <r>
      <rPr>
        <sz val="8"/>
        <rFont val="Times New Roman"/>
        <family val="1"/>
      </rPr>
      <t>Hartsville/Trousdale County Government</t>
    </r>
  </si>
  <si>
    <r>
      <rPr>
        <sz val="8"/>
        <rFont val="Times New Roman"/>
        <family val="1"/>
      </rPr>
      <t>Hartsville/Trousdale Water and Sewer Utility District</t>
    </r>
  </si>
  <si>
    <r>
      <rPr>
        <sz val="8"/>
        <rFont val="Times New Roman"/>
        <family val="1"/>
      </rPr>
      <t>Hatchie River Reg Lib</t>
    </r>
  </si>
  <si>
    <r>
      <rPr>
        <sz val="8"/>
        <rFont val="Times New Roman"/>
        <family val="1"/>
      </rPr>
      <t>Hawkins County</t>
    </r>
  </si>
  <si>
    <r>
      <rPr>
        <sz val="8"/>
        <rFont val="Times New Roman"/>
        <family val="1"/>
      </rPr>
      <t>Haywood Co Gen.</t>
    </r>
  </si>
  <si>
    <r>
      <rPr>
        <sz val="8"/>
        <rFont val="Times New Roman"/>
        <family val="1"/>
      </rPr>
      <t>Health Information Partnership of Tennessee</t>
    </r>
  </si>
  <si>
    <r>
      <rPr>
        <sz val="8"/>
        <rFont val="Times New Roman"/>
        <family val="1"/>
      </rPr>
      <t>Henderson City</t>
    </r>
  </si>
  <si>
    <r>
      <rPr>
        <sz val="8"/>
        <rFont val="Times New Roman"/>
        <family val="1"/>
      </rPr>
      <t>Henderson County Government</t>
    </r>
  </si>
  <si>
    <r>
      <rPr>
        <sz val="8"/>
        <rFont val="Times New Roman"/>
        <family val="1"/>
      </rPr>
      <t>Henderson County Highway</t>
    </r>
  </si>
  <si>
    <r>
      <rPr>
        <sz val="8"/>
        <rFont val="Times New Roman"/>
        <family val="1"/>
      </rPr>
      <t>Henry County Highway Department</t>
    </r>
  </si>
  <si>
    <r>
      <rPr>
        <sz val="8"/>
        <rFont val="Times New Roman"/>
        <family val="1"/>
      </rPr>
      <t>Hickman County</t>
    </r>
  </si>
  <si>
    <r>
      <rPr>
        <sz val="8"/>
        <rFont val="Times New Roman"/>
        <family val="1"/>
      </rPr>
      <t>Hickman County Highway</t>
    </r>
  </si>
  <si>
    <r>
      <rPr>
        <sz val="8"/>
        <rFont val="Times New Roman"/>
        <family val="1"/>
      </rPr>
      <t>Highland Rim Economic Corp</t>
    </r>
  </si>
  <si>
    <r>
      <rPr>
        <sz val="8"/>
        <rFont val="Times New Roman"/>
        <family val="1"/>
      </rPr>
      <t>Hixson Util Dst</t>
    </r>
  </si>
  <si>
    <r>
      <rPr>
        <sz val="8"/>
        <rFont val="Times New Roman"/>
        <family val="1"/>
      </rPr>
      <t>Hohenwald Housing Authority</t>
    </r>
  </si>
  <si>
    <r>
      <rPr>
        <sz val="8"/>
        <rFont val="Times New Roman"/>
        <family val="1"/>
      </rPr>
      <t>Homeplace, Inc</t>
    </r>
  </si>
  <si>
    <r>
      <rPr>
        <sz val="8"/>
        <rFont val="Times New Roman"/>
        <family val="1"/>
      </rPr>
      <t>Homesafe Of Sumner, Wilson,</t>
    </r>
  </si>
  <si>
    <r>
      <rPr>
        <sz val="8"/>
        <rFont val="Times New Roman"/>
        <family val="1"/>
      </rPr>
      <t>Hope Of East Tennessee</t>
    </r>
  </si>
  <si>
    <r>
      <rPr>
        <sz val="8"/>
        <rFont val="Times New Roman"/>
        <family val="1"/>
      </rPr>
      <t>Houston County Highway Department</t>
    </r>
  </si>
  <si>
    <r>
      <rPr>
        <sz val="8"/>
        <rFont val="Times New Roman"/>
        <family val="1"/>
      </rPr>
      <t>Humboldt Housing Auth</t>
    </r>
  </si>
  <si>
    <r>
      <rPr>
        <sz val="8"/>
        <rFont val="Times New Roman"/>
        <family val="1"/>
      </rPr>
      <t>Humboldt Utilities- Elec Co</t>
    </r>
  </si>
  <si>
    <r>
      <rPr>
        <sz val="8"/>
        <rFont val="Times New Roman"/>
        <family val="1"/>
      </rPr>
      <t>Humboldt Utilities- Gas and Water</t>
    </r>
  </si>
  <si>
    <r>
      <rPr>
        <sz val="8"/>
        <rFont val="Times New Roman"/>
        <family val="1"/>
      </rPr>
      <t>Humphreys County</t>
    </r>
  </si>
  <si>
    <r>
      <rPr>
        <sz val="8"/>
        <rFont val="Times New Roman"/>
        <family val="1"/>
      </rPr>
      <t>Humphrey'S County 911</t>
    </r>
  </si>
  <si>
    <r>
      <rPr>
        <sz val="8"/>
        <rFont val="Times New Roman"/>
        <family val="1"/>
      </rPr>
      <t>Humphrey'S County Highway</t>
    </r>
  </si>
  <si>
    <r>
      <rPr>
        <sz val="8"/>
        <rFont val="Times New Roman"/>
        <family val="1"/>
      </rPr>
      <t>Impact Center, Inc.</t>
    </r>
  </si>
  <si>
    <r>
      <rPr>
        <sz val="8"/>
        <rFont val="Times New Roman"/>
        <family val="1"/>
      </rPr>
      <t>Industrial Dev Brd of Blount Co, Alcoa, &amp; Maryville</t>
    </r>
  </si>
  <si>
    <r>
      <rPr>
        <sz val="8"/>
        <rFont val="Times New Roman"/>
        <family val="1"/>
      </rPr>
      <t>Jackson Alcohol/Drug</t>
    </r>
  </si>
  <si>
    <r>
      <rPr>
        <sz val="8"/>
        <rFont val="Times New Roman"/>
        <family val="1"/>
      </rPr>
      <t>Jackson Ctr. Ind. Living</t>
    </r>
  </si>
  <si>
    <r>
      <rPr>
        <sz val="8"/>
        <rFont val="Times New Roman"/>
        <family val="1"/>
      </rPr>
      <t>James Developmental Ctr</t>
    </r>
  </si>
  <si>
    <r>
      <rPr>
        <sz val="8"/>
        <rFont val="Times New Roman"/>
        <family val="1"/>
      </rPr>
      <t>Jefferson City</t>
    </r>
  </si>
  <si>
    <r>
      <rPr>
        <sz val="8"/>
        <rFont val="Times New Roman"/>
        <family val="1"/>
      </rPr>
      <t>Jefferson City Housing</t>
    </r>
  </si>
  <si>
    <r>
      <rPr>
        <sz val="8"/>
        <rFont val="Times New Roman"/>
        <family val="1"/>
      </rPr>
      <t>Jefferson City Public Safety</t>
    </r>
  </si>
  <si>
    <r>
      <rPr>
        <sz val="8"/>
        <rFont val="Times New Roman"/>
        <family val="1"/>
      </rPr>
      <t>Jefferson Co. 911</t>
    </r>
  </si>
  <si>
    <r>
      <rPr>
        <sz val="8"/>
        <rFont val="Times New Roman"/>
        <family val="1"/>
      </rPr>
      <t>Jefferson County</t>
    </r>
  </si>
  <si>
    <r>
      <rPr>
        <sz val="8"/>
        <rFont val="Times New Roman"/>
        <family val="1"/>
      </rPr>
      <t>Johnson County</t>
    </r>
  </si>
  <si>
    <r>
      <rPr>
        <sz val="8"/>
        <rFont val="Times New Roman"/>
        <family val="1"/>
      </rPr>
      <t>Johnson County Emergency Communications E911</t>
    </r>
  </si>
  <si>
    <r>
      <rPr>
        <sz val="8"/>
        <rFont val="Times New Roman"/>
        <family val="1"/>
      </rPr>
      <t>Jubilee Community Arts</t>
    </r>
  </si>
  <si>
    <r>
      <rPr>
        <sz val="8"/>
        <rFont val="Times New Roman"/>
        <family val="1"/>
      </rPr>
      <t>Kings Daughter Day Home</t>
    </r>
  </si>
  <si>
    <r>
      <rPr>
        <sz val="8"/>
        <rFont val="Times New Roman"/>
        <family val="1"/>
      </rPr>
      <t>Kingsport Housing Auth</t>
    </r>
  </si>
  <si>
    <r>
      <rPr>
        <sz val="8"/>
        <rFont val="Times New Roman"/>
        <family val="1"/>
      </rPr>
      <t>Kingston Spring</t>
    </r>
  </si>
  <si>
    <r>
      <rPr>
        <sz val="8"/>
        <rFont val="Times New Roman"/>
        <family val="1"/>
      </rPr>
      <t>Knoxville/Knox Cac</t>
    </r>
  </si>
  <si>
    <r>
      <rPr>
        <sz val="8"/>
        <rFont val="Times New Roman"/>
        <family val="1"/>
      </rPr>
      <t>Lauderdale County Loc Gov</t>
    </r>
  </si>
  <si>
    <r>
      <rPr>
        <sz val="8"/>
        <rFont val="Times New Roman"/>
        <family val="1"/>
      </rPr>
      <t>Lawrence County 911</t>
    </r>
  </si>
  <si>
    <r>
      <rPr>
        <sz val="8"/>
        <rFont val="Times New Roman"/>
        <family val="1"/>
      </rPr>
      <t>Lawrence County Government</t>
    </r>
  </si>
  <si>
    <r>
      <rPr>
        <sz val="8"/>
        <rFont val="Times New Roman"/>
        <family val="1"/>
      </rPr>
      <t>Lawrenceburg Housing Authority</t>
    </r>
  </si>
  <si>
    <r>
      <rPr>
        <sz val="8"/>
        <rFont val="Times New Roman"/>
        <family val="1"/>
      </rPr>
      <t>Lewis Co Highway Dept</t>
    </r>
  </si>
  <si>
    <r>
      <rPr>
        <sz val="8"/>
        <rFont val="Times New Roman"/>
        <family val="1"/>
      </rPr>
      <t>Lewis County Government</t>
    </r>
  </si>
  <si>
    <r>
      <rPr>
        <sz val="8"/>
        <rFont val="Times New Roman"/>
        <family val="1"/>
      </rPr>
      <t>Lewisburg Housing Authority</t>
    </r>
  </si>
  <si>
    <r>
      <rPr>
        <sz val="8"/>
        <rFont val="Times New Roman"/>
        <family val="1"/>
      </rPr>
      <t>Lexington Electric System</t>
    </r>
  </si>
  <si>
    <r>
      <rPr>
        <sz val="8"/>
        <rFont val="Times New Roman"/>
        <family val="1"/>
      </rPr>
      <t>Lincoln Co. Government</t>
    </r>
  </si>
  <si>
    <r>
      <rPr>
        <sz val="8"/>
        <rFont val="Times New Roman"/>
        <family val="1"/>
      </rPr>
      <t>Linebaugh Pub Lib</t>
    </r>
  </si>
  <si>
    <r>
      <rPr>
        <sz val="8"/>
        <rFont val="Times New Roman"/>
        <family val="1"/>
      </rPr>
      <t>Loc Gov Ret In</t>
    </r>
  </si>
  <si>
    <r>
      <rPr>
        <sz val="8"/>
        <rFont val="Times New Roman"/>
        <family val="1"/>
      </rPr>
      <t>Loudon County Economic Dev. Agency</t>
    </r>
  </si>
  <si>
    <r>
      <rPr>
        <sz val="8"/>
        <rFont val="Times New Roman"/>
        <family val="1"/>
      </rPr>
      <t>Madison Suburban Utility District</t>
    </r>
  </si>
  <si>
    <r>
      <rPr>
        <sz val="8"/>
        <rFont val="Times New Roman"/>
        <family val="1"/>
      </rPr>
      <t>MadIson Util Dist</t>
    </r>
  </si>
  <si>
    <r>
      <rPr>
        <sz val="8"/>
        <rFont val="Times New Roman"/>
        <family val="1"/>
      </rPr>
      <t>Manchester Housing</t>
    </r>
  </si>
  <si>
    <r>
      <rPr>
        <sz val="8"/>
        <rFont val="Times New Roman"/>
        <family val="1"/>
      </rPr>
      <t>Marion Co 911</t>
    </r>
  </si>
  <si>
    <r>
      <rPr>
        <sz val="8"/>
        <rFont val="Times New Roman"/>
        <family val="1"/>
      </rPr>
      <t>Marion Co. Hwy.</t>
    </r>
  </si>
  <si>
    <r>
      <rPr>
        <sz val="8"/>
        <rFont val="Times New Roman"/>
        <family val="1"/>
      </rPr>
      <t>Marion County Government</t>
    </r>
  </si>
  <si>
    <r>
      <rPr>
        <sz val="8"/>
        <rFont val="Times New Roman"/>
        <family val="1"/>
      </rPr>
      <t>Marion Natural Gas</t>
    </r>
  </si>
  <si>
    <r>
      <rPr>
        <sz val="8"/>
        <rFont val="Times New Roman"/>
        <family val="1"/>
      </rPr>
      <t>Marshall County Government</t>
    </r>
  </si>
  <si>
    <r>
      <rPr>
        <sz val="8"/>
        <rFont val="Times New Roman"/>
        <family val="1"/>
      </rPr>
      <t>Mckenzie City Loc Gov</t>
    </r>
  </si>
  <si>
    <r>
      <rPr>
        <sz val="8"/>
        <rFont val="Times New Roman"/>
        <family val="1"/>
      </rPr>
      <t>McMinn County Economic Development Authority</t>
    </r>
  </si>
  <si>
    <r>
      <rPr>
        <sz val="8"/>
        <rFont val="Times New Roman"/>
        <family val="1"/>
      </rPr>
      <t>Mcnairy Co Dev</t>
    </r>
  </si>
  <si>
    <r>
      <rPr>
        <sz val="8"/>
        <rFont val="Times New Roman"/>
        <family val="1"/>
      </rPr>
      <t>McNairy Co. Highway Dept.</t>
    </r>
  </si>
  <si>
    <r>
      <rPr>
        <sz val="8"/>
        <rFont val="Times New Roman"/>
        <family val="1"/>
      </rPr>
      <t>McNeilly Center for Children</t>
    </r>
  </si>
  <si>
    <r>
      <rPr>
        <sz val="8"/>
        <rFont val="Times New Roman"/>
        <family val="1"/>
      </rPr>
      <t>M-Cumb Comm Act</t>
    </r>
  </si>
  <si>
    <r>
      <rPr>
        <sz val="8"/>
        <rFont val="Times New Roman"/>
        <family val="1"/>
      </rPr>
      <t>M-East Comm Act</t>
    </r>
  </si>
  <si>
    <r>
      <rPr>
        <sz val="8"/>
        <rFont val="Times New Roman"/>
        <family val="1"/>
      </rPr>
      <t>Meigs County Government</t>
    </r>
  </si>
  <si>
    <r>
      <rPr>
        <sz val="8"/>
        <rFont val="Times New Roman"/>
        <family val="1"/>
      </rPr>
      <t>Memphis Area Association of Governments</t>
    </r>
  </si>
  <si>
    <r>
      <rPr>
        <sz val="8"/>
        <rFont val="Times New Roman"/>
        <family val="1"/>
      </rPr>
      <t>Memphis Area LE</t>
    </r>
  </si>
  <si>
    <r>
      <rPr>
        <sz val="8"/>
        <rFont val="Times New Roman"/>
        <family val="1"/>
      </rPr>
      <t>Memphis Liv Ctr</t>
    </r>
  </si>
  <si>
    <r>
      <rPr>
        <sz val="8"/>
        <rFont val="Times New Roman"/>
        <family val="1"/>
      </rPr>
      <t>Memphis-Shelby Cha</t>
    </r>
  </si>
  <si>
    <r>
      <rPr>
        <sz val="8"/>
        <rFont val="Times New Roman"/>
        <family val="1"/>
      </rPr>
      <t>Mental Hlt-Nash</t>
    </r>
  </si>
  <si>
    <r>
      <rPr>
        <sz val="8"/>
        <rFont val="Times New Roman"/>
        <family val="1"/>
      </rPr>
      <t>Meritan, Inc</t>
    </r>
  </si>
  <si>
    <r>
      <rPr>
        <sz val="8"/>
        <rFont val="Times New Roman"/>
        <family val="1"/>
      </rPr>
      <t>Mid Cumber Cha</t>
    </r>
  </si>
  <si>
    <r>
      <rPr>
        <sz val="8"/>
        <rFont val="Times New Roman"/>
        <family val="1"/>
      </rPr>
      <t>Mid-Cumb Hra</t>
    </r>
  </si>
  <si>
    <r>
      <rPr>
        <sz val="8"/>
        <rFont val="Times New Roman"/>
        <family val="1"/>
      </rPr>
      <t>Middle Tenn UT Dist</t>
    </r>
  </si>
  <si>
    <r>
      <rPr>
        <sz val="8"/>
        <rFont val="Times New Roman"/>
        <family val="1"/>
      </rPr>
      <t>Midtown Utility</t>
    </r>
  </si>
  <si>
    <r>
      <rPr>
        <sz val="8"/>
        <rFont val="Times New Roman"/>
        <family val="1"/>
      </rPr>
      <t>Mid-W Community Serv Agency</t>
    </r>
  </si>
  <si>
    <r>
      <rPr>
        <sz val="8"/>
        <rFont val="Times New Roman"/>
        <family val="1"/>
      </rPr>
      <t>Milan Public Utilities</t>
    </r>
  </si>
  <si>
    <r>
      <rPr>
        <sz val="8"/>
        <rFont val="Times New Roman"/>
        <family val="1"/>
      </rPr>
      <t>Milan, City of</t>
    </r>
  </si>
  <si>
    <r>
      <rPr>
        <sz val="8"/>
        <rFont val="Times New Roman"/>
        <family val="1"/>
      </rPr>
      <t>Ministerial Assn Temp Shelter</t>
    </r>
  </si>
  <si>
    <r>
      <rPr>
        <sz val="8"/>
        <rFont val="Times New Roman"/>
        <family val="1"/>
      </rPr>
      <t>Minor Hill Water Utility Dist</t>
    </r>
  </si>
  <si>
    <r>
      <rPr>
        <sz val="8"/>
        <rFont val="Times New Roman"/>
        <family val="1"/>
      </rPr>
      <t>Monroe County</t>
    </r>
  </si>
  <si>
    <r>
      <rPr>
        <sz val="8"/>
        <rFont val="Times New Roman"/>
        <family val="1"/>
      </rPr>
      <t>Monroe County Highway</t>
    </r>
  </si>
  <si>
    <r>
      <rPr>
        <sz val="8"/>
        <rFont val="Times New Roman"/>
        <family val="1"/>
      </rPr>
      <t>MS Crockett Pud</t>
    </r>
  </si>
  <si>
    <r>
      <rPr>
        <sz val="8"/>
        <rFont val="Times New Roman"/>
        <family val="1"/>
      </rPr>
      <t>Mt Carmel Hawk</t>
    </r>
  </si>
  <si>
    <r>
      <rPr>
        <sz val="8"/>
        <rFont val="Times New Roman"/>
        <family val="1"/>
      </rPr>
      <t>Murfreesboro Electric Department</t>
    </r>
  </si>
  <si>
    <r>
      <rPr>
        <sz val="8"/>
        <rFont val="Times New Roman"/>
        <family val="1"/>
      </rPr>
      <t>My Friend's House Family and Children Services, Inc.</t>
    </r>
  </si>
  <si>
    <r>
      <rPr>
        <sz val="8"/>
        <rFont val="Times New Roman"/>
        <family val="1"/>
      </rPr>
      <t>N.Utility Of Dec/Ben Co</t>
    </r>
  </si>
  <si>
    <r>
      <rPr>
        <sz val="8"/>
        <rFont val="Times New Roman"/>
        <family val="1"/>
      </rPr>
      <t>NAMI Davidson County</t>
    </r>
  </si>
  <si>
    <r>
      <rPr>
        <sz val="8"/>
        <rFont val="Times New Roman"/>
        <family val="1"/>
      </rPr>
      <t>Nami Tennessee</t>
    </r>
  </si>
  <si>
    <r>
      <rPr>
        <sz val="8"/>
        <rFont val="Times New Roman"/>
        <family val="1"/>
      </rPr>
      <t>Nashville Cares1</t>
    </r>
  </si>
  <si>
    <r>
      <rPr>
        <sz val="8"/>
        <rFont val="Times New Roman"/>
        <family val="1"/>
      </rPr>
      <t>Nashville Cares2</t>
    </r>
  </si>
  <si>
    <r>
      <rPr>
        <sz val="8"/>
        <rFont val="Times New Roman"/>
        <family val="1"/>
      </rPr>
      <t>Nat'L Assn. Of Social Workers</t>
    </r>
  </si>
  <si>
    <r>
      <rPr>
        <sz val="8"/>
        <rFont val="Times New Roman"/>
        <family val="1"/>
      </rPr>
      <t>Nat'L Hlthcare For Homeless</t>
    </r>
  </si>
  <si>
    <r>
      <rPr>
        <sz val="8"/>
        <rFont val="Times New Roman"/>
        <family val="1"/>
      </rPr>
      <t>Natural Gas Acquisition Co Clarksville</t>
    </r>
  </si>
  <si>
    <r>
      <rPr>
        <sz val="8"/>
        <rFont val="Times New Roman"/>
        <family val="1"/>
      </rPr>
      <t>Ne Henry Utility</t>
    </r>
  </si>
  <si>
    <r>
      <rPr>
        <sz val="8"/>
        <rFont val="Times New Roman"/>
        <family val="1"/>
      </rPr>
      <t>New Directions</t>
    </r>
  </si>
  <si>
    <r>
      <rPr>
        <sz val="8"/>
        <rFont val="Times New Roman"/>
        <family val="1"/>
      </rPr>
      <t>New Horizons Corp</t>
    </r>
  </si>
  <si>
    <r>
      <rPr>
        <sz val="8"/>
        <rFont val="Times New Roman"/>
        <family val="1"/>
      </rPr>
      <t>New Market Utility</t>
    </r>
  </si>
  <si>
    <r>
      <rPr>
        <sz val="8"/>
        <rFont val="Times New Roman"/>
        <family val="1"/>
      </rPr>
      <t>Nolichucky Reg Lib</t>
    </r>
  </si>
  <si>
    <r>
      <rPr>
        <sz val="8"/>
        <rFont val="Times New Roman"/>
        <family val="1"/>
      </rPr>
      <t>Non-TCRS Retire MS</t>
    </r>
  </si>
  <si>
    <r>
      <rPr>
        <sz val="8"/>
        <rFont val="Times New Roman"/>
        <family val="1"/>
      </rPr>
      <t>Non-TCRS Retirees</t>
    </r>
  </si>
  <si>
    <r>
      <rPr>
        <sz val="8"/>
        <rFont val="Times New Roman"/>
        <family val="1"/>
      </rPr>
      <t>Norris</t>
    </r>
  </si>
  <si>
    <r>
      <rPr>
        <sz val="8"/>
        <rFont val="Times New Roman"/>
        <family val="1"/>
      </rPr>
      <t>Norris Fire and Police</t>
    </r>
  </si>
  <si>
    <r>
      <rPr>
        <sz val="8"/>
        <rFont val="Times New Roman"/>
        <family val="1"/>
      </rPr>
      <t>North Overton Utility District</t>
    </r>
  </si>
  <si>
    <r>
      <rPr>
        <sz val="8"/>
        <rFont val="Times New Roman"/>
        <family val="1"/>
      </rPr>
      <t>North Utility District of Rhea County</t>
    </r>
  </si>
  <si>
    <r>
      <rPr>
        <sz val="8"/>
        <rFont val="Times New Roman"/>
        <family val="1"/>
      </rPr>
      <t>Northeast Comm Svs. Agency</t>
    </r>
  </si>
  <si>
    <r>
      <rPr>
        <sz val="8"/>
        <rFont val="Times New Roman"/>
        <family val="1"/>
      </rPr>
      <t>Northwest Comm Health Agency</t>
    </r>
  </si>
  <si>
    <r>
      <rPr>
        <sz val="8"/>
        <rFont val="Times New Roman"/>
        <family val="1"/>
      </rPr>
      <t>Northwest Safeline</t>
    </r>
  </si>
  <si>
    <r>
      <rPr>
        <sz val="8"/>
        <rFont val="Times New Roman"/>
        <family val="1"/>
      </rPr>
      <t>Northwest TN Head Start</t>
    </r>
  </si>
  <si>
    <r>
      <rPr>
        <sz val="8"/>
        <rFont val="Times New Roman"/>
        <family val="1"/>
      </rPr>
      <t>Nw Dyersburg Util</t>
    </r>
  </si>
  <si>
    <r>
      <rPr>
        <sz val="8"/>
        <rFont val="Times New Roman"/>
        <family val="1"/>
      </rPr>
      <t>Nw TN Econ Dev</t>
    </r>
  </si>
  <si>
    <r>
      <rPr>
        <sz val="8"/>
        <rFont val="Times New Roman"/>
        <family val="1"/>
      </rPr>
      <t>Oak Hill, City of</t>
    </r>
  </si>
  <si>
    <r>
      <rPr>
        <sz val="8"/>
        <rFont val="Times New Roman"/>
        <family val="1"/>
      </rPr>
      <t>Oak Ridge Housing Authority</t>
    </r>
  </si>
  <si>
    <r>
      <rPr>
        <sz val="8"/>
        <rFont val="Times New Roman"/>
        <family val="1"/>
      </rPr>
      <t>Obion County Government</t>
    </r>
  </si>
  <si>
    <r>
      <rPr>
        <sz val="8"/>
        <rFont val="Times New Roman"/>
        <family val="1"/>
      </rPr>
      <t>Obion River Reg Lib</t>
    </r>
  </si>
  <si>
    <r>
      <rPr>
        <sz val="8"/>
        <rFont val="Times New Roman"/>
        <family val="1"/>
      </rPr>
      <t>Old Hickory Utl Dist.</t>
    </r>
  </si>
  <si>
    <r>
      <rPr>
        <sz val="8"/>
        <rFont val="Times New Roman"/>
        <family val="1"/>
      </rPr>
      <t>Old Knoxville Hwy Water Dist</t>
    </r>
  </si>
  <si>
    <r>
      <rPr>
        <sz val="8"/>
        <rFont val="Times New Roman"/>
        <family val="1"/>
      </rPr>
      <t>Orange Grove Center, Inc</t>
    </r>
  </si>
  <si>
    <r>
      <rPr>
        <sz val="8"/>
        <rFont val="Times New Roman"/>
        <family val="1"/>
      </rPr>
      <t>Overton County</t>
    </r>
  </si>
  <si>
    <r>
      <rPr>
        <sz val="8"/>
        <rFont val="Times New Roman"/>
        <family val="1"/>
      </rPr>
      <t>Overton County 911</t>
    </r>
  </si>
  <si>
    <r>
      <rPr>
        <sz val="8"/>
        <rFont val="Times New Roman"/>
        <family val="1"/>
      </rPr>
      <t>Overton County Highway Department</t>
    </r>
  </si>
  <si>
    <r>
      <rPr>
        <sz val="8"/>
        <rFont val="Times New Roman"/>
        <family val="1"/>
      </rPr>
      <t>Overton County Nursing Home</t>
    </r>
  </si>
  <si>
    <r>
      <rPr>
        <sz val="8"/>
        <rFont val="Times New Roman"/>
        <family val="1"/>
      </rPr>
      <t>Pathfinders</t>
    </r>
  </si>
  <si>
    <r>
      <rPr>
        <sz val="8"/>
        <rFont val="Times New Roman"/>
        <family val="1"/>
      </rPr>
      <t>Perry Co. Hwy.</t>
    </r>
  </si>
  <si>
    <r>
      <rPr>
        <sz val="8"/>
        <rFont val="Times New Roman"/>
        <family val="1"/>
      </rPr>
      <t>Perry County Officials</t>
    </r>
  </si>
  <si>
    <r>
      <rPr>
        <sz val="8"/>
        <rFont val="Times New Roman"/>
        <family val="1"/>
      </rPr>
      <t>PerryCounty Medical CenterInc.</t>
    </r>
  </si>
  <si>
    <r>
      <rPr>
        <sz val="8"/>
        <rFont val="Times New Roman"/>
        <family val="1"/>
      </rPr>
      <t>Prevent Child Abuse TN</t>
    </r>
  </si>
  <si>
    <r>
      <rPr>
        <sz val="8"/>
        <rFont val="Times New Roman"/>
        <family val="1"/>
      </rPr>
      <t>ProfessionalCareServicesWestTN</t>
    </r>
  </si>
  <si>
    <r>
      <rPr>
        <sz val="8"/>
        <rFont val="Times New Roman"/>
        <family val="1"/>
      </rPr>
      <t>Progress Inc.</t>
    </r>
  </si>
  <si>
    <r>
      <rPr>
        <sz val="8"/>
        <rFont val="Times New Roman"/>
        <family val="1"/>
      </rPr>
      <t>Project Return</t>
    </r>
  </si>
  <si>
    <r>
      <rPr>
        <sz val="8"/>
        <rFont val="Times New Roman"/>
        <family val="1"/>
      </rPr>
      <t>Putnam CoRuralHealthClinic</t>
    </r>
  </si>
  <si>
    <r>
      <rPr>
        <sz val="8"/>
        <rFont val="Times New Roman"/>
        <family val="1"/>
      </rPr>
      <t>Rape/Sex Ab Ctr</t>
    </r>
  </si>
  <si>
    <r>
      <rPr>
        <sz val="8"/>
        <rFont val="Times New Roman"/>
        <family val="1"/>
      </rPr>
      <t>Red River Reg Lib</t>
    </r>
  </si>
  <si>
    <r>
      <rPr>
        <sz val="8"/>
        <rFont val="Times New Roman"/>
        <family val="1"/>
      </rPr>
      <t>Reelfoot Lake Regional Utility</t>
    </r>
  </si>
  <si>
    <r>
      <rPr>
        <sz val="8"/>
        <rFont val="Times New Roman"/>
        <family val="1"/>
      </rPr>
      <t>Renewal House</t>
    </r>
  </si>
  <si>
    <r>
      <rPr>
        <sz val="8"/>
        <rFont val="Times New Roman"/>
        <family val="1"/>
      </rPr>
      <t>Rhea County Government</t>
    </r>
  </si>
  <si>
    <r>
      <rPr>
        <sz val="8"/>
        <rFont val="Times New Roman"/>
        <family val="1"/>
      </rPr>
      <t>Rhea Nursing Home</t>
    </r>
  </si>
  <si>
    <r>
      <rPr>
        <sz val="8"/>
        <rFont val="Times New Roman"/>
        <family val="1"/>
      </rPr>
      <t>Riceville Utility District</t>
    </r>
  </si>
  <si>
    <r>
      <rPr>
        <sz val="8"/>
        <rFont val="Times New Roman"/>
        <family val="1"/>
      </rPr>
      <t>Ripley Gas/Water</t>
    </r>
  </si>
  <si>
    <r>
      <rPr>
        <sz val="8"/>
        <rFont val="Times New Roman"/>
        <family val="1"/>
      </rPr>
      <t>Roane Co 911</t>
    </r>
  </si>
  <si>
    <r>
      <rPr>
        <sz val="8"/>
        <rFont val="Times New Roman"/>
        <family val="1"/>
      </rPr>
      <t>Roane County</t>
    </r>
  </si>
  <si>
    <r>
      <rPr>
        <sz val="8"/>
        <rFont val="Times New Roman"/>
        <family val="1"/>
      </rPr>
      <t>Rockwood, City of</t>
    </r>
  </si>
  <si>
    <r>
      <rPr>
        <sz val="8"/>
        <rFont val="Times New Roman"/>
        <family val="1"/>
      </rPr>
      <t>Rose Center &amp; Council For Arts</t>
    </r>
  </si>
  <si>
    <r>
      <rPr>
        <sz val="8"/>
        <rFont val="Times New Roman"/>
        <family val="1"/>
      </rPr>
      <t>Rutherford Adult Ctr</t>
    </r>
  </si>
  <si>
    <r>
      <rPr>
        <sz val="8"/>
        <rFont val="Times New Roman"/>
        <family val="1"/>
      </rPr>
      <t>Samaritan Recovery</t>
    </r>
  </si>
  <si>
    <r>
      <rPr>
        <sz val="8"/>
        <rFont val="Times New Roman"/>
        <family val="1"/>
      </rPr>
      <t>Savannah City Loc Gov</t>
    </r>
  </si>
  <si>
    <r>
      <rPr>
        <sz val="8"/>
        <rFont val="Times New Roman"/>
        <family val="1"/>
      </rPr>
      <t>Savannah Parks</t>
    </r>
  </si>
  <si>
    <r>
      <rPr>
        <sz val="8"/>
        <rFont val="Times New Roman"/>
        <family val="1"/>
      </rPr>
      <t>Savannah, City of- Emerg</t>
    </r>
  </si>
  <si>
    <r>
      <rPr>
        <sz val="8"/>
        <rFont val="Times New Roman"/>
        <family val="1"/>
      </rPr>
      <t>Scott County</t>
    </r>
  </si>
  <si>
    <r>
      <rPr>
        <sz val="8"/>
        <rFont val="Times New Roman"/>
        <family val="1"/>
      </rPr>
      <t>Scott County Ambulance Service</t>
    </r>
  </si>
  <si>
    <r>
      <rPr>
        <sz val="8"/>
        <rFont val="Times New Roman"/>
        <family val="1"/>
      </rPr>
      <t>Scott County Road Dept</t>
    </r>
  </si>
  <si>
    <r>
      <rPr>
        <sz val="8"/>
        <rFont val="Times New Roman"/>
        <family val="1"/>
      </rPr>
      <t>Se Regional Cha</t>
    </r>
  </si>
  <si>
    <r>
      <rPr>
        <sz val="8"/>
        <rFont val="Times New Roman"/>
        <family val="1"/>
      </rPr>
      <t>Second South Cheatham Util.</t>
    </r>
  </si>
  <si>
    <r>
      <rPr>
        <sz val="8"/>
        <rFont val="Times New Roman"/>
        <family val="1"/>
      </rPr>
      <t>Senior Citizens Inc</t>
    </r>
  </si>
  <si>
    <r>
      <rPr>
        <sz val="8"/>
        <rFont val="Times New Roman"/>
        <family val="1"/>
      </rPr>
      <t>Sequatchie Co. Hwy Dept.</t>
    </r>
  </si>
  <si>
    <r>
      <rPr>
        <sz val="8"/>
        <rFont val="Times New Roman"/>
        <family val="1"/>
      </rPr>
      <t>Sequatchie County Government</t>
    </r>
  </si>
  <si>
    <r>
      <rPr>
        <sz val="8"/>
        <rFont val="Times New Roman"/>
        <family val="1"/>
      </rPr>
      <t>Sequatchie Val. Pl. Dev.</t>
    </r>
  </si>
  <si>
    <r>
      <rPr>
        <sz val="8"/>
        <rFont val="Times New Roman"/>
        <family val="1"/>
      </rPr>
      <t>Serentiy Recoveries</t>
    </r>
  </si>
  <si>
    <r>
      <rPr>
        <sz val="8"/>
        <rFont val="Times New Roman"/>
        <family val="1"/>
      </rPr>
      <t>Sertoma Center</t>
    </r>
  </si>
  <si>
    <r>
      <rPr>
        <sz val="8"/>
        <rFont val="Times New Roman"/>
        <family val="1"/>
      </rPr>
      <t>Sevier County</t>
    </r>
  </si>
  <si>
    <r>
      <rPr>
        <sz val="8"/>
        <rFont val="Times New Roman"/>
        <family val="1"/>
      </rPr>
      <t>Sevier County Fee Officers</t>
    </r>
  </si>
  <si>
    <r>
      <rPr>
        <sz val="8"/>
        <rFont val="Times New Roman"/>
        <family val="1"/>
      </rPr>
      <t>Sevier County Highway</t>
    </r>
  </si>
  <si>
    <r>
      <rPr>
        <sz val="8"/>
        <rFont val="Times New Roman"/>
        <family val="1"/>
      </rPr>
      <t>Sevier County Lib</t>
    </r>
  </si>
  <si>
    <r>
      <rPr>
        <sz val="8"/>
        <rFont val="Times New Roman"/>
        <family val="1"/>
      </rPr>
      <t>Sexual Assault Crisis Ctr</t>
    </r>
  </si>
  <si>
    <r>
      <rPr>
        <sz val="8"/>
        <rFont val="Times New Roman"/>
        <family val="1"/>
      </rPr>
      <t>Shelby County 911</t>
    </r>
  </si>
  <si>
    <r>
      <rPr>
        <sz val="8"/>
        <rFont val="Times New Roman"/>
        <family val="1"/>
      </rPr>
      <t>Shelby Residential &amp; Voc. Svs</t>
    </r>
  </si>
  <si>
    <r>
      <rPr>
        <sz val="8"/>
        <rFont val="Times New Roman"/>
        <family val="1"/>
      </rPr>
      <t>Shelter, Inc</t>
    </r>
  </si>
  <si>
    <r>
      <rPr>
        <sz val="8"/>
        <rFont val="Times New Roman"/>
        <family val="1"/>
      </rPr>
      <t>Skills Development Services, Inc</t>
    </r>
  </si>
  <si>
    <r>
      <rPr>
        <sz val="8"/>
        <rFont val="Times New Roman"/>
        <family val="1"/>
      </rPr>
      <t>Smith County</t>
    </r>
  </si>
  <si>
    <r>
      <rPr>
        <sz val="8"/>
        <rFont val="Times New Roman"/>
        <family val="1"/>
      </rPr>
      <t>Smith County Highway Department</t>
    </r>
  </si>
  <si>
    <r>
      <rPr>
        <sz val="8"/>
        <rFont val="Times New Roman"/>
        <family val="1"/>
      </rPr>
      <t>Smithville Electric</t>
    </r>
  </si>
  <si>
    <r>
      <rPr>
        <sz val="8"/>
        <rFont val="Times New Roman"/>
        <family val="1"/>
      </rPr>
      <t>Soddy-Daisy Falling Water Dist</t>
    </r>
  </si>
  <si>
    <r>
      <rPr>
        <sz val="8"/>
        <rFont val="Times New Roman"/>
        <family val="1"/>
      </rPr>
      <t>South Cent TN Dev Dist</t>
    </r>
  </si>
  <si>
    <r>
      <rPr>
        <sz val="8"/>
        <rFont val="Times New Roman"/>
        <family val="1"/>
      </rPr>
      <t>South Central Comm Health Agen</t>
    </r>
  </si>
  <si>
    <r>
      <rPr>
        <sz val="8"/>
        <rFont val="Times New Roman"/>
        <family val="1"/>
      </rPr>
      <t>South Central Human Resource Agency</t>
    </r>
  </si>
  <si>
    <r>
      <rPr>
        <sz val="8"/>
        <rFont val="Times New Roman"/>
        <family val="1"/>
      </rPr>
      <t>South Ctr TN Wkforce Board</t>
    </r>
  </si>
  <si>
    <r>
      <rPr>
        <sz val="8"/>
        <rFont val="Times New Roman"/>
        <family val="1"/>
      </rPr>
      <t>South Giles Utility District</t>
    </r>
  </si>
  <si>
    <r>
      <rPr>
        <sz val="8"/>
        <rFont val="Times New Roman"/>
        <family val="1"/>
      </rPr>
      <t>South Pittsburg Housing Authority</t>
    </r>
  </si>
  <si>
    <r>
      <rPr>
        <sz val="8"/>
        <rFont val="Times New Roman"/>
        <family val="1"/>
      </rPr>
      <t>Southeast Mental Health Ctr</t>
    </r>
  </si>
  <si>
    <r>
      <rPr>
        <sz val="8"/>
        <rFont val="Times New Roman"/>
        <family val="1"/>
      </rPr>
      <t>Southeast Tennessee Development District</t>
    </r>
  </si>
  <si>
    <r>
      <rPr>
        <sz val="8"/>
        <rFont val="Times New Roman"/>
        <family val="1"/>
      </rPr>
      <t>Southwest Comm Health Agency</t>
    </r>
  </si>
  <si>
    <r>
      <rPr>
        <sz val="8"/>
        <rFont val="Times New Roman"/>
        <family val="1"/>
      </rPr>
      <t>Southwest Human Resource Agency</t>
    </r>
  </si>
  <si>
    <r>
      <rPr>
        <sz val="8"/>
        <rFont val="Times New Roman"/>
        <family val="1"/>
      </rPr>
      <t>Sparta Electric&amp;WaterSystem</t>
    </r>
  </si>
  <si>
    <r>
      <rPr>
        <sz val="8"/>
        <rFont val="Times New Roman"/>
        <family val="1"/>
      </rPr>
      <t>Spectrum Support</t>
    </r>
  </si>
  <si>
    <r>
      <rPr>
        <sz val="8"/>
        <rFont val="Times New Roman"/>
        <family val="1"/>
      </rPr>
      <t>St. Joseph, City</t>
    </r>
  </si>
  <si>
    <r>
      <rPr>
        <sz val="8"/>
        <rFont val="Times New Roman"/>
        <family val="1"/>
      </rPr>
      <t>Statewide Indep. Living Counci</t>
    </r>
  </si>
  <si>
    <r>
      <rPr>
        <sz val="8"/>
        <rFont val="Times New Roman"/>
        <family val="1"/>
      </rPr>
      <t>Stewart Co. Government</t>
    </r>
  </si>
  <si>
    <r>
      <rPr>
        <sz val="8"/>
        <rFont val="Times New Roman"/>
        <family val="1"/>
      </rPr>
      <t>Stewart Co. Hwy.</t>
    </r>
  </si>
  <si>
    <r>
      <rPr>
        <sz val="8"/>
        <rFont val="Times New Roman"/>
        <family val="1"/>
      </rPr>
      <t>Stoned River Reg Lib</t>
    </r>
  </si>
  <si>
    <r>
      <rPr>
        <sz val="8"/>
        <rFont val="Times New Roman"/>
        <family val="1"/>
      </rPr>
      <t>Street Works, Inc.</t>
    </r>
  </si>
  <si>
    <r>
      <rPr>
        <sz val="8"/>
        <rFont val="Times New Roman"/>
        <family val="1"/>
      </rPr>
      <t>Sullivan Co 911</t>
    </r>
  </si>
  <si>
    <r>
      <rPr>
        <sz val="8"/>
        <rFont val="Times New Roman"/>
        <family val="1"/>
      </rPr>
      <t>Sullivan County Government</t>
    </r>
  </si>
  <si>
    <r>
      <rPr>
        <sz val="8"/>
        <rFont val="Times New Roman"/>
        <family val="1"/>
      </rPr>
      <t>Sumner County</t>
    </r>
  </si>
  <si>
    <r>
      <rPr>
        <sz val="8"/>
        <rFont val="Times New Roman"/>
        <family val="1"/>
      </rPr>
      <t>Sumner County CASA, Inc</t>
    </r>
  </si>
  <si>
    <r>
      <rPr>
        <sz val="8"/>
        <rFont val="Times New Roman"/>
        <family val="1"/>
      </rPr>
      <t>Sumner County Highway</t>
    </r>
  </si>
  <si>
    <r>
      <rPr>
        <sz val="8"/>
        <rFont val="Times New Roman"/>
        <family val="1"/>
      </rPr>
      <t>Surgoinsville Utility District</t>
    </r>
  </si>
  <si>
    <r>
      <rPr>
        <sz val="8"/>
        <rFont val="Times New Roman"/>
        <family val="1"/>
      </rPr>
      <t>SW TN Development District</t>
    </r>
  </si>
  <si>
    <r>
      <rPr>
        <sz val="8"/>
        <rFont val="Times New Roman"/>
        <family val="1"/>
      </rPr>
      <t>T.E.A.M., Inc.</t>
    </r>
  </si>
  <si>
    <r>
      <rPr>
        <sz val="8"/>
        <rFont val="Times New Roman"/>
        <family val="1"/>
      </rPr>
      <t>Tarp, Inc.</t>
    </r>
  </si>
  <si>
    <r>
      <rPr>
        <sz val="8"/>
        <rFont val="Times New Roman"/>
        <family val="1"/>
      </rPr>
      <t>Team Evaluation</t>
    </r>
  </si>
  <si>
    <r>
      <rPr>
        <sz val="8"/>
        <rFont val="Times New Roman"/>
        <family val="1"/>
      </rPr>
      <t>Tenn Assn Of Utility Districts</t>
    </r>
  </si>
  <si>
    <r>
      <rPr>
        <sz val="8"/>
        <rFont val="Times New Roman"/>
        <family val="1"/>
      </rPr>
      <t>Tenn. Assoc of Rescue Squads</t>
    </r>
  </si>
  <si>
    <r>
      <rPr>
        <sz val="8"/>
        <rFont val="Times New Roman"/>
        <family val="1"/>
      </rPr>
      <t>Tennessee Central Economic Authority</t>
    </r>
  </si>
  <si>
    <r>
      <rPr>
        <sz val="8"/>
        <rFont val="Times New Roman"/>
        <family val="1"/>
      </rPr>
      <t>Tennessee CSA</t>
    </r>
  </si>
  <si>
    <r>
      <rPr>
        <sz val="8"/>
        <rFont val="Times New Roman"/>
        <family val="1"/>
      </rPr>
      <t>Tennessee Education Association</t>
    </r>
  </si>
  <si>
    <r>
      <rPr>
        <sz val="8"/>
        <rFont val="Times New Roman"/>
        <family val="1"/>
      </rPr>
      <t>Tennessee Municipal League Risk Management Pool</t>
    </r>
  </si>
  <si>
    <r>
      <rPr>
        <sz val="8"/>
        <rFont val="Times New Roman"/>
        <family val="1"/>
      </rPr>
      <t>Tennessee State Veterans Home Board Executive/Murfr</t>
    </r>
  </si>
  <si>
    <r>
      <rPr>
        <sz val="8"/>
        <rFont val="Times New Roman"/>
        <family val="1"/>
      </rPr>
      <t>Tennessee State Veterans Home Board Humboldt</t>
    </r>
  </si>
  <si>
    <r>
      <rPr>
        <sz val="8"/>
        <rFont val="Times New Roman"/>
        <family val="1"/>
      </rPr>
      <t>Tennessee State Veterans Home Board Knoxville</t>
    </r>
  </si>
  <si>
    <r>
      <rPr>
        <sz val="8"/>
        <rFont val="Times New Roman"/>
        <family val="1"/>
      </rPr>
      <t>Tennessee Tomorrow Inc.</t>
    </r>
  </si>
  <si>
    <r>
      <rPr>
        <sz val="8"/>
        <rFont val="Times New Roman"/>
        <family val="1"/>
      </rPr>
      <t>The Development Corp of Knox County</t>
    </r>
  </si>
  <si>
    <r>
      <rPr>
        <sz val="8"/>
        <rFont val="Times New Roman"/>
        <family val="1"/>
      </rPr>
      <t>The Jason Foundation</t>
    </r>
  </si>
  <si>
    <r>
      <rPr>
        <sz val="8"/>
        <rFont val="Times New Roman"/>
        <family val="1"/>
      </rPr>
      <t>The Rochelle Ct</t>
    </r>
  </si>
  <si>
    <r>
      <rPr>
        <sz val="8"/>
        <rFont val="Times New Roman"/>
        <family val="1"/>
      </rPr>
      <t>Tipton Co 911</t>
    </r>
  </si>
  <si>
    <r>
      <rPr>
        <sz val="8"/>
        <rFont val="Times New Roman"/>
        <family val="1"/>
      </rPr>
      <t>Tipton County</t>
    </r>
  </si>
  <si>
    <r>
      <rPr>
        <sz val="8"/>
        <rFont val="Times New Roman"/>
        <family val="1"/>
      </rPr>
      <t>TN A Co Executives</t>
    </r>
  </si>
  <si>
    <r>
      <rPr>
        <sz val="8"/>
        <rFont val="Times New Roman"/>
        <family val="1"/>
      </rPr>
      <t>TN A&amp;D Assoc</t>
    </r>
  </si>
  <si>
    <r>
      <rPr>
        <sz val="8"/>
        <rFont val="Times New Roman"/>
        <family val="1"/>
      </rPr>
      <t>TN Alliance for Legal Services</t>
    </r>
  </si>
  <si>
    <r>
      <rPr>
        <sz val="8"/>
        <rFont val="Times New Roman"/>
        <family val="1"/>
      </rPr>
      <t>TN Arts Center For Cannon Cty</t>
    </r>
  </si>
  <si>
    <r>
      <rPr>
        <sz val="8"/>
        <rFont val="Times New Roman"/>
        <family val="1"/>
      </rPr>
      <t>TN As Assessing</t>
    </r>
  </si>
  <si>
    <r>
      <rPr>
        <sz val="8"/>
        <rFont val="Times New Roman"/>
        <family val="1"/>
      </rPr>
      <t>TN Assn Of Craft Artists</t>
    </r>
  </si>
  <si>
    <r>
      <rPr>
        <sz val="8"/>
        <rFont val="Times New Roman"/>
        <family val="1"/>
      </rPr>
      <t>TN Bus Enterprises</t>
    </r>
  </si>
  <si>
    <r>
      <rPr>
        <sz val="8"/>
        <rFont val="Times New Roman"/>
        <family val="1"/>
      </rPr>
      <t>TN Center For Nursing</t>
    </r>
  </si>
  <si>
    <r>
      <rPr>
        <sz val="8"/>
        <rFont val="Times New Roman"/>
        <family val="1"/>
      </rPr>
      <t>TN Ch/Childrens Advocacy Ctr.</t>
    </r>
  </si>
  <si>
    <r>
      <rPr>
        <sz val="8"/>
        <rFont val="Times New Roman"/>
        <family val="1"/>
      </rPr>
      <t>TN Co Hwy Officials Asn</t>
    </r>
  </si>
  <si>
    <r>
      <rPr>
        <sz val="8"/>
        <rFont val="Times New Roman"/>
        <family val="1"/>
      </rPr>
      <t>TN Co Serv Assn</t>
    </r>
  </si>
  <si>
    <r>
      <rPr>
        <sz val="8"/>
        <rFont val="Times New Roman"/>
        <family val="1"/>
      </rPr>
      <t>TN County Commissioners Assn.</t>
    </r>
  </si>
  <si>
    <r>
      <rPr>
        <sz val="8"/>
        <rFont val="Times New Roman"/>
        <family val="1"/>
      </rPr>
      <t>TN Health Care Ca</t>
    </r>
  </si>
  <si>
    <r>
      <rPr>
        <sz val="8"/>
        <rFont val="Times New Roman"/>
        <family val="1"/>
      </rPr>
      <t>TN Hist Society</t>
    </r>
  </si>
  <si>
    <r>
      <rPr>
        <sz val="8"/>
        <rFont val="Times New Roman"/>
        <family val="1"/>
      </rPr>
      <t>TN Mental Health C.A.</t>
    </r>
  </si>
  <si>
    <r>
      <rPr>
        <sz val="8"/>
        <rFont val="Times New Roman"/>
        <family val="1"/>
      </rPr>
      <t>TN Municipal Bond Fund</t>
    </r>
  </si>
  <si>
    <r>
      <rPr>
        <sz val="8"/>
        <rFont val="Times New Roman"/>
        <family val="1"/>
      </rPr>
      <t>TN Municipal League</t>
    </r>
  </si>
  <si>
    <r>
      <rPr>
        <sz val="8"/>
        <rFont val="Times New Roman"/>
        <family val="1"/>
      </rPr>
      <t>TN Organization Of Sch Sup.</t>
    </r>
  </si>
  <si>
    <r>
      <rPr>
        <sz val="8"/>
        <rFont val="Times New Roman"/>
        <family val="1"/>
      </rPr>
      <t>TN Primary Care Association</t>
    </r>
  </si>
  <si>
    <r>
      <rPr>
        <sz val="8"/>
        <rFont val="Times New Roman"/>
        <family val="1"/>
      </rPr>
      <t>TN School Board Assn</t>
    </r>
  </si>
  <si>
    <r>
      <rPr>
        <sz val="8"/>
        <rFont val="Times New Roman"/>
        <family val="1"/>
      </rPr>
      <t>TN Sec Sch Ath Assn</t>
    </r>
  </si>
  <si>
    <r>
      <rPr>
        <sz val="8"/>
        <rFont val="Times New Roman"/>
        <family val="1"/>
      </rPr>
      <t>TN Sports Hall of Fame</t>
    </r>
  </si>
  <si>
    <r>
      <rPr>
        <sz val="8"/>
        <rFont val="Times New Roman"/>
        <family val="1"/>
      </rPr>
      <t>TN State Employees Assn.</t>
    </r>
  </si>
  <si>
    <r>
      <rPr>
        <sz val="8"/>
        <rFont val="Times New Roman"/>
        <family val="1"/>
      </rPr>
      <t>TN State Museum</t>
    </r>
  </si>
  <si>
    <r>
      <rPr>
        <sz val="8"/>
        <rFont val="Times New Roman"/>
        <family val="1"/>
      </rPr>
      <t>TN State Veterans Home - Clarksville</t>
    </r>
  </si>
  <si>
    <r>
      <rPr>
        <sz val="8"/>
        <rFont val="Times New Roman"/>
        <family val="1"/>
      </rPr>
      <t>TN Technology Development</t>
    </r>
  </si>
  <si>
    <r>
      <rPr>
        <sz val="8"/>
        <rFont val="Times New Roman"/>
        <family val="1"/>
      </rPr>
      <t>TN Voices For Children</t>
    </r>
  </si>
  <si>
    <r>
      <rPr>
        <sz val="8"/>
        <rFont val="Times New Roman"/>
        <family val="1"/>
      </rPr>
      <t>Town Of Alamo</t>
    </r>
  </si>
  <si>
    <r>
      <rPr>
        <sz val="8"/>
        <rFont val="Times New Roman"/>
        <family val="1"/>
      </rPr>
      <t>Town Of Atoka</t>
    </r>
  </si>
  <si>
    <r>
      <rPr>
        <sz val="8"/>
        <rFont val="Times New Roman"/>
        <family val="1"/>
      </rPr>
      <t>Town Of Atwood</t>
    </r>
  </si>
  <si>
    <r>
      <rPr>
        <sz val="8"/>
        <rFont val="Times New Roman"/>
        <family val="1"/>
      </rPr>
      <t>Town Of Bruceto</t>
    </r>
  </si>
  <si>
    <r>
      <rPr>
        <sz val="8"/>
        <rFont val="Times New Roman"/>
        <family val="1"/>
      </rPr>
      <t>Town Of Burns</t>
    </r>
  </si>
  <si>
    <r>
      <rPr>
        <sz val="8"/>
        <rFont val="Times New Roman"/>
        <family val="1"/>
      </rPr>
      <t>Town Of Carthage</t>
    </r>
  </si>
  <si>
    <r>
      <rPr>
        <sz val="8"/>
        <rFont val="Times New Roman"/>
        <family val="1"/>
      </rPr>
      <t>Town Of Caryville</t>
    </r>
  </si>
  <si>
    <r>
      <rPr>
        <sz val="8"/>
        <rFont val="Times New Roman"/>
        <family val="1"/>
      </rPr>
      <t>Town of Centerville</t>
    </r>
  </si>
  <si>
    <r>
      <rPr>
        <sz val="8"/>
        <rFont val="Times New Roman"/>
        <family val="1"/>
      </rPr>
      <t>Town of Clinton</t>
    </r>
  </si>
  <si>
    <r>
      <rPr>
        <sz val="8"/>
        <rFont val="Times New Roman"/>
        <family val="1"/>
      </rPr>
      <t>Town Of Coopertown</t>
    </r>
  </si>
  <si>
    <r>
      <rPr>
        <sz val="8"/>
        <rFont val="Times New Roman"/>
        <family val="1"/>
      </rPr>
      <t>Town Of Decaturville</t>
    </r>
  </si>
  <si>
    <r>
      <rPr>
        <sz val="8"/>
        <rFont val="Times New Roman"/>
        <family val="1"/>
      </rPr>
      <t>Town Of Dover</t>
    </r>
  </si>
  <si>
    <r>
      <rPr>
        <sz val="8"/>
        <rFont val="Times New Roman"/>
        <family val="1"/>
      </rPr>
      <t>Town Of Gordonsville</t>
    </r>
  </si>
  <si>
    <r>
      <rPr>
        <sz val="8"/>
        <rFont val="Times New Roman"/>
        <family val="1"/>
      </rPr>
      <t>Town Of Huntingdon</t>
    </r>
  </si>
  <si>
    <r>
      <rPr>
        <sz val="8"/>
        <rFont val="Times New Roman"/>
        <family val="1"/>
      </rPr>
      <t>Town Of Jacksboro</t>
    </r>
  </si>
  <si>
    <r>
      <rPr>
        <sz val="8"/>
        <rFont val="Times New Roman"/>
        <family val="1"/>
      </rPr>
      <t>Town Of Jasper</t>
    </r>
  </si>
  <si>
    <r>
      <rPr>
        <sz val="8"/>
        <rFont val="Times New Roman"/>
        <family val="1"/>
      </rPr>
      <t>Town Of Kimball</t>
    </r>
  </si>
  <si>
    <r>
      <rPr>
        <sz val="8"/>
        <rFont val="Times New Roman"/>
        <family val="1"/>
      </rPr>
      <t>Town Of Linden</t>
    </r>
  </si>
  <si>
    <r>
      <rPr>
        <sz val="8"/>
        <rFont val="Times New Roman"/>
        <family val="1"/>
      </rPr>
      <t>Town of Mason</t>
    </r>
  </si>
  <si>
    <r>
      <rPr>
        <sz val="8"/>
        <rFont val="Times New Roman"/>
        <family val="1"/>
      </rPr>
      <t>Town Of Monteagle</t>
    </r>
  </si>
  <si>
    <r>
      <rPr>
        <sz val="8"/>
        <rFont val="Times New Roman"/>
        <family val="1"/>
      </rPr>
      <t>Town Of Mosheim</t>
    </r>
  </si>
  <si>
    <r>
      <rPr>
        <sz val="8"/>
        <rFont val="Times New Roman"/>
        <family val="1"/>
      </rPr>
      <t>Town of Nolensville</t>
    </r>
  </si>
  <si>
    <r>
      <rPr>
        <sz val="8"/>
        <rFont val="Times New Roman"/>
        <family val="1"/>
      </rPr>
      <t>Town Of Pegram</t>
    </r>
  </si>
  <si>
    <r>
      <rPr>
        <sz val="8"/>
        <rFont val="Times New Roman"/>
        <family val="1"/>
      </rPr>
      <t>Town Of Petersburg</t>
    </r>
  </si>
  <si>
    <r>
      <rPr>
        <sz val="8"/>
        <rFont val="Times New Roman"/>
        <family val="1"/>
      </rPr>
      <t>Town Of Pleasant View</t>
    </r>
  </si>
  <si>
    <r>
      <rPr>
        <sz val="8"/>
        <rFont val="Times New Roman"/>
        <family val="1"/>
      </rPr>
      <t>Town Of Powell'S Crossroad</t>
    </r>
  </si>
  <si>
    <r>
      <rPr>
        <sz val="8"/>
        <rFont val="Times New Roman"/>
        <family val="1"/>
      </rPr>
      <t>Town Of Rossville</t>
    </r>
  </si>
  <si>
    <r>
      <rPr>
        <sz val="8"/>
        <rFont val="Times New Roman"/>
        <family val="1"/>
      </rPr>
      <t>Town of Rutherford</t>
    </r>
  </si>
  <si>
    <r>
      <rPr>
        <sz val="8"/>
        <rFont val="Times New Roman"/>
        <family val="1"/>
      </rPr>
      <t>Town Of Scotts Hill</t>
    </r>
  </si>
  <si>
    <r>
      <rPr>
        <sz val="8"/>
        <rFont val="Times New Roman"/>
        <family val="1"/>
      </rPr>
      <t>Town of Selmer</t>
    </r>
  </si>
  <si>
    <r>
      <rPr>
        <sz val="8"/>
        <rFont val="Times New Roman"/>
        <family val="1"/>
      </rPr>
      <t>Town of Selmer Retirees</t>
    </r>
  </si>
  <si>
    <r>
      <rPr>
        <sz val="8"/>
        <rFont val="Times New Roman"/>
        <family val="1"/>
      </rPr>
      <t>Town of Signal Mountain</t>
    </r>
  </si>
  <si>
    <r>
      <rPr>
        <sz val="8"/>
        <rFont val="Times New Roman"/>
        <family val="1"/>
      </rPr>
      <t>Town Of Spring City</t>
    </r>
  </si>
  <si>
    <r>
      <rPr>
        <sz val="8"/>
        <rFont val="Times New Roman"/>
        <family val="1"/>
      </rPr>
      <t>Town Of Unicoi</t>
    </r>
  </si>
  <si>
    <r>
      <rPr>
        <sz val="8"/>
        <rFont val="Times New Roman"/>
        <family val="1"/>
      </rPr>
      <t>Town Of Wartrace</t>
    </r>
  </si>
  <si>
    <r>
      <rPr>
        <sz val="8"/>
        <rFont val="Times New Roman"/>
        <family val="1"/>
      </rPr>
      <t>Town Of Westmoreland</t>
    </r>
  </si>
  <si>
    <r>
      <rPr>
        <sz val="8"/>
        <rFont val="Times New Roman"/>
        <family val="1"/>
      </rPr>
      <t>Town Of Whiteville</t>
    </r>
  </si>
  <si>
    <r>
      <rPr>
        <sz val="8"/>
        <rFont val="Times New Roman"/>
        <family val="1"/>
      </rPr>
      <t>Trac, Inc</t>
    </r>
  </si>
  <si>
    <r>
      <rPr>
        <sz val="8"/>
        <rFont val="Times New Roman"/>
        <family val="1"/>
      </rPr>
      <t>Tracy City Utility</t>
    </r>
  </si>
  <si>
    <r>
      <rPr>
        <sz val="8"/>
        <rFont val="Times New Roman"/>
        <family val="1"/>
      </rPr>
      <t>Tri-Cities/Sullivan Utility Di</t>
    </r>
  </si>
  <si>
    <r>
      <rPr>
        <sz val="8"/>
        <rFont val="Times New Roman"/>
        <family val="1"/>
      </rPr>
      <t>Troy, Town Of</t>
    </r>
  </si>
  <si>
    <r>
      <rPr>
        <sz val="8"/>
        <rFont val="Times New Roman"/>
        <family val="1"/>
      </rPr>
      <t>Tuckaleechee Utility District</t>
    </r>
  </si>
  <si>
    <r>
      <rPr>
        <sz val="8"/>
        <rFont val="Times New Roman"/>
        <family val="1"/>
      </rPr>
      <t>Tullahoma Housing Authority</t>
    </r>
  </si>
  <si>
    <r>
      <rPr>
        <sz val="8"/>
        <rFont val="Times New Roman"/>
        <family val="1"/>
      </rPr>
      <t>Tullahoma Utilities Board</t>
    </r>
  </si>
  <si>
    <r>
      <rPr>
        <sz val="8"/>
        <rFont val="Times New Roman"/>
        <family val="1"/>
      </rPr>
      <t>Union City Electric System</t>
    </r>
  </si>
  <si>
    <r>
      <rPr>
        <sz val="8"/>
        <rFont val="Times New Roman"/>
        <family val="1"/>
      </rPr>
      <t>Union City, City of</t>
    </r>
  </si>
  <si>
    <r>
      <rPr>
        <sz val="8"/>
        <rFont val="Times New Roman"/>
        <family val="1"/>
      </rPr>
      <t>Union County EMS</t>
    </r>
  </si>
  <si>
    <r>
      <rPr>
        <sz val="8"/>
        <rFont val="Times New Roman"/>
        <family val="1"/>
      </rPr>
      <t>Union County General Fund</t>
    </r>
  </si>
  <si>
    <r>
      <rPr>
        <sz val="8"/>
        <rFont val="Times New Roman"/>
        <family val="1"/>
      </rPr>
      <t>Union County Highway Department</t>
    </r>
  </si>
  <si>
    <r>
      <rPr>
        <sz val="8"/>
        <rFont val="Times New Roman"/>
        <family val="1"/>
      </rPr>
      <t>Union County Officials</t>
    </r>
  </si>
  <si>
    <r>
      <rPr>
        <sz val="8"/>
        <rFont val="Times New Roman"/>
        <family val="1"/>
      </rPr>
      <t>United Cerebral Palsy Center</t>
    </r>
  </si>
  <si>
    <r>
      <rPr>
        <sz val="8"/>
        <rFont val="Times New Roman"/>
        <family val="1"/>
      </rPr>
      <t>United Neighborhood Health Services</t>
    </r>
  </si>
  <si>
    <r>
      <rPr>
        <sz val="8"/>
        <rFont val="Times New Roman"/>
        <family val="1"/>
      </rPr>
      <t>Upper Cumb Cha</t>
    </r>
  </si>
  <si>
    <r>
      <rPr>
        <sz val="8"/>
        <rFont val="Times New Roman"/>
        <family val="1"/>
      </rPr>
      <t>Upper Cumb Dev Dist</t>
    </r>
  </si>
  <si>
    <r>
      <rPr>
        <sz val="8"/>
        <rFont val="Times New Roman"/>
        <family val="1"/>
      </rPr>
      <t>Upper Cumberland Human Resource Agency</t>
    </r>
  </si>
  <si>
    <r>
      <rPr>
        <sz val="8"/>
        <rFont val="Times New Roman"/>
        <family val="1"/>
      </rPr>
      <t>Upper Cumberland Reg Lib</t>
    </r>
  </si>
  <si>
    <r>
      <rPr>
        <sz val="8"/>
        <rFont val="Times New Roman"/>
        <family val="1"/>
      </rPr>
      <t>Upper East TN Had</t>
    </r>
  </si>
  <si>
    <r>
      <rPr>
        <sz val="8"/>
        <rFont val="Times New Roman"/>
        <family val="1"/>
      </rPr>
      <t>Urban Housing Solutions</t>
    </r>
  </si>
  <si>
    <r>
      <rPr>
        <sz val="8"/>
        <rFont val="Times New Roman"/>
        <family val="1"/>
      </rPr>
      <t>Vision Coordination</t>
    </r>
  </si>
  <si>
    <r>
      <rPr>
        <sz val="8"/>
        <rFont val="Times New Roman"/>
        <family val="1"/>
      </rPr>
      <t>Vital Center, Inc</t>
    </r>
  </si>
  <si>
    <r>
      <rPr>
        <sz val="8"/>
        <rFont val="Times New Roman"/>
        <family val="1"/>
      </rPr>
      <t>Volunteer Ctr Of Memphis</t>
    </r>
  </si>
  <si>
    <r>
      <rPr>
        <sz val="8"/>
        <rFont val="Times New Roman"/>
        <family val="1"/>
      </rPr>
      <t>W&amp;M Resource Rape Asst Prog</t>
    </r>
  </si>
  <si>
    <r>
      <rPr>
        <sz val="8"/>
        <rFont val="Times New Roman"/>
        <family val="1"/>
      </rPr>
      <t>Walden, City Of</t>
    </r>
  </si>
  <si>
    <r>
      <rPr>
        <sz val="8"/>
        <rFont val="Times New Roman"/>
        <family val="1"/>
      </rPr>
      <t>Warren County</t>
    </r>
  </si>
  <si>
    <r>
      <rPr>
        <sz val="8"/>
        <rFont val="Times New Roman"/>
        <family val="1"/>
      </rPr>
      <t>Washington County- Johnson City 911</t>
    </r>
  </si>
  <si>
    <r>
      <rPr>
        <sz val="8"/>
        <rFont val="Times New Roman"/>
        <family val="1"/>
      </rPr>
      <t>Watertown, City of</t>
    </r>
  </si>
  <si>
    <r>
      <rPr>
        <sz val="8"/>
        <rFont val="Times New Roman"/>
        <family val="1"/>
      </rPr>
      <t>Wdvx- Cumberland Comm Corp</t>
    </r>
  </si>
  <si>
    <r>
      <rPr>
        <sz val="8"/>
        <rFont val="Times New Roman"/>
        <family val="1"/>
      </rPr>
      <t>Weakley Co 911</t>
    </r>
  </si>
  <si>
    <r>
      <rPr>
        <sz val="8"/>
        <rFont val="Times New Roman"/>
        <family val="1"/>
      </rPr>
      <t>Weakley Co Mun. Electric Sys</t>
    </r>
  </si>
  <si>
    <r>
      <rPr>
        <sz val="8"/>
        <rFont val="Times New Roman"/>
        <family val="1"/>
      </rPr>
      <t>Weakley County</t>
    </r>
  </si>
  <si>
    <r>
      <rPr>
        <sz val="8"/>
        <rFont val="Times New Roman"/>
        <family val="1"/>
      </rPr>
      <t>Webb Creek Utility</t>
    </r>
  </si>
  <si>
    <r>
      <rPr>
        <sz val="8"/>
        <rFont val="Times New Roman"/>
        <family val="1"/>
      </rPr>
      <t>West Cumberland Utility</t>
    </r>
  </si>
  <si>
    <r>
      <rPr>
        <sz val="8"/>
        <rFont val="Times New Roman"/>
        <family val="1"/>
      </rPr>
      <t>West Overton Utility</t>
    </r>
  </si>
  <si>
    <r>
      <rPr>
        <sz val="8"/>
        <rFont val="Times New Roman"/>
        <family val="1"/>
      </rPr>
      <t>West Tenn Legal Services, Inc.</t>
    </r>
  </si>
  <si>
    <r>
      <rPr>
        <sz val="8"/>
        <rFont val="Times New Roman"/>
        <family val="1"/>
      </rPr>
      <t>West TN Forensic SVS Inc.</t>
    </r>
  </si>
  <si>
    <r>
      <rPr>
        <sz val="8"/>
        <rFont val="Times New Roman"/>
        <family val="1"/>
      </rPr>
      <t>West TN Regional Art Center</t>
    </r>
  </si>
  <si>
    <r>
      <rPr>
        <sz val="8"/>
        <rFont val="Times New Roman"/>
        <family val="1"/>
      </rPr>
      <t>West Warren-Viola Utility</t>
    </r>
  </si>
  <si>
    <r>
      <rPr>
        <sz val="8"/>
        <rFont val="Times New Roman"/>
        <family val="1"/>
      </rPr>
      <t>White House, City of</t>
    </r>
  </si>
  <si>
    <r>
      <rPr>
        <sz val="8"/>
        <rFont val="Times New Roman"/>
        <family val="1"/>
      </rPr>
      <t>Whitehaven SW Mental Health</t>
    </r>
  </si>
  <si>
    <r>
      <rPr>
        <sz val="8"/>
        <rFont val="Times New Roman"/>
        <family val="1"/>
      </rPr>
      <t>Whitwell City</t>
    </r>
  </si>
  <si>
    <r>
      <rPr>
        <sz val="8"/>
        <rFont val="Times New Roman"/>
        <family val="1"/>
      </rPr>
      <t>Williamson Co Child Adv Ctr</t>
    </r>
  </si>
  <si>
    <r>
      <rPr>
        <sz val="8"/>
        <rFont val="Times New Roman"/>
        <family val="1"/>
      </rPr>
      <t>Williamson County</t>
    </r>
  </si>
  <si>
    <r>
      <rPr>
        <sz val="8"/>
        <rFont val="Times New Roman"/>
        <family val="1"/>
      </rPr>
      <t>Wilson County ECD (E-911)</t>
    </r>
  </si>
  <si>
    <r>
      <rPr>
        <sz val="8"/>
        <rFont val="Times New Roman"/>
        <family val="1"/>
      </rPr>
      <t>Wilson County MS</t>
    </r>
  </si>
  <si>
    <r>
      <rPr>
        <sz val="8"/>
        <rFont val="Times New Roman"/>
        <family val="1"/>
      </rPr>
      <t>Winchester City</t>
    </r>
  </si>
  <si>
    <r>
      <rPr>
        <sz val="8"/>
        <rFont val="Times New Roman"/>
        <family val="1"/>
      </rPr>
      <t>Witt Utility District</t>
    </r>
  </si>
  <si>
    <r>
      <rPr>
        <sz val="8"/>
        <rFont val="Times New Roman"/>
        <family val="1"/>
      </rPr>
      <t>Woodbury</t>
    </r>
  </si>
  <si>
    <r>
      <rPr>
        <sz val="8"/>
        <rFont val="Times New Roman"/>
        <family val="1"/>
      </rPr>
      <t>Woodbury Housing Authority</t>
    </r>
  </si>
  <si>
    <r>
      <rPr>
        <sz val="8"/>
        <rFont val="Times New Roman"/>
        <family val="1"/>
      </rPr>
      <t>Workforce Solutions</t>
    </r>
  </si>
  <si>
    <r>
      <rPr>
        <sz val="8"/>
        <rFont val="Times New Roman"/>
        <family val="1"/>
      </rPr>
      <t>Youth Emergency Shelter</t>
    </r>
  </si>
  <si>
    <r>
      <rPr>
        <b/>
        <i/>
        <sz val="8"/>
        <rFont val="Times New Roman"/>
        <family val="1"/>
      </rPr>
      <t>Total</t>
    </r>
  </si>
  <si>
    <t>Closed Local Government OPEB Plan</t>
  </si>
  <si>
    <t>An insurance committee, created in accordance with TCA 8-27-701, establishes the required payments to the LGOP by member employers and employees through the blended premiums established for active and retired employees. Claims liabilities of the plan are periodically computed using actuarial and statistical techniques to establish premium rates.  For the fiscal year ended June 30, 2018, the [entity] paid $xxx.xxx million to the LGOP for OPEB benefits as they came due.</t>
  </si>
  <si>
    <t>LGOP</t>
  </si>
  <si>
    <t xml:space="preserve">Inactive employees currently receiving benefit payments </t>
  </si>
  <si>
    <t xml:space="preserve">Inactive employees entitled to but not yet receiving benefit payments </t>
  </si>
  <si>
    <t>Benefits paid as due reporting yr</t>
  </si>
  <si>
    <t>Rounded to 000's</t>
  </si>
  <si>
    <t>LGOP - (expressed in thousands)</t>
  </si>
  <si>
    <t>Ending balance per results</t>
  </si>
  <si>
    <r>
      <rPr>
        <b/>
        <i/>
        <sz val="10"/>
        <color theme="1"/>
        <rFont val="Times New Roman"/>
        <family val="1"/>
      </rPr>
      <t>Sensitivity of total OPEB liability to changes in the discount rate</t>
    </r>
    <r>
      <rPr>
        <sz val="10"/>
        <color theme="1"/>
        <rFont val="Times New Roman"/>
        <family val="1"/>
      </rPr>
      <t xml:space="preserve"> - The following presents the total OPEB liability related to the LGOP, as well as what the total OPEB liability would be if it were calculated using a discount rate that is 1-percentage-point lower (2.56%) or 1-percentage-point higher (4.56%) than the current discount rate. (expressed in thousands)</t>
    </r>
  </si>
  <si>
    <t>Total OPEB expense</t>
  </si>
  <si>
    <t>This amount is provided by the employer.  Covered employee payroll should be the total payroll paid to full time employees, hired prior to July 1, 2015, during FY2017.  This number should include terminated employees and exclude employees who reached the age of 65 before June 30, 2018.</t>
  </si>
  <si>
    <t>Source of Information</t>
  </si>
  <si>
    <t>Inactive employees currently receiving benefit payments</t>
  </si>
  <si>
    <t>Inactive employees entitled to but not yet receiving benefit payments</t>
  </si>
  <si>
    <t>Count</t>
  </si>
  <si>
    <t>TOL End</t>
  </si>
  <si>
    <t>TOL Beg</t>
  </si>
  <si>
    <t>Expense</t>
  </si>
  <si>
    <t>Sensitivity</t>
  </si>
  <si>
    <t>Changes in TOL</t>
  </si>
  <si>
    <t>Add'l Expense Items</t>
  </si>
  <si>
    <t xml:space="preserve">DIR </t>
  </si>
  <si>
    <t xml:space="preserve">DOR </t>
  </si>
  <si>
    <t>Net DOR by Year</t>
  </si>
  <si>
    <t>Average Exp Rem Svc Life</t>
  </si>
  <si>
    <t>Inactive Receiving</t>
  </si>
  <si>
    <t>Inactive Not Receiving</t>
  </si>
  <si>
    <t>Actives Eligible for  Benefits</t>
  </si>
  <si>
    <t>All Active</t>
  </si>
  <si>
    <t>Expected Benefit Payment</t>
  </si>
  <si>
    <t>Net DOR/DIR</t>
  </si>
  <si>
    <t>Discount Rate -1%</t>
  </si>
  <si>
    <t>Discount Rate +1%</t>
  </si>
  <si>
    <t>HC Trend Rates -1%</t>
  </si>
  <si>
    <t>HC Trend Rates +1%</t>
  </si>
  <si>
    <t>Service Cost</t>
  </si>
  <si>
    <t>Changes in Benefits</t>
  </si>
  <si>
    <t>Experience</t>
  </si>
  <si>
    <t>Changes in Asumptions</t>
  </si>
  <si>
    <t>Benefits Paid</t>
  </si>
  <si>
    <t>Cuurent Period Changes in Benefits</t>
  </si>
  <si>
    <t>Recogn of O/I due to Liab</t>
  </si>
  <si>
    <t>Other Liability</t>
  </si>
  <si>
    <t>Year +1</t>
  </si>
  <si>
    <t>Year +2</t>
  </si>
  <si>
    <t>Year +3</t>
  </si>
  <si>
    <t>Year +4</t>
  </si>
  <si>
    <t>Year + 5</t>
  </si>
  <si>
    <t>Employer Provided</t>
  </si>
  <si>
    <t>(if amount is negative, the debit will be to a deferred outflow account and the credit will be to the OPEB liability account)</t>
  </si>
  <si>
    <r>
      <t xml:space="preserve">4)    Entry to record the annual increase to the employers total deferred inflows/outflows of resources related to FY2018 differences between expected and actual experience. Each year’s increase will have its own separate amortization period (based on expected service lives of covered employees). It is recommended that employers track these deferrals in separate accounts to ease with tracking and validation of amounts. This amount can be found on the </t>
    </r>
    <r>
      <rPr>
        <b/>
        <i/>
        <sz val="11"/>
        <color theme="1"/>
        <rFont val="Calibri"/>
        <family val="2"/>
        <scheme val="minor"/>
      </rPr>
      <t>Schedule of Changes in Total OPEB Liability and Related Ratios</t>
    </r>
    <r>
      <rPr>
        <b/>
        <sz val="11"/>
        <color theme="1"/>
        <rFont val="Calibri"/>
        <family val="2"/>
        <scheme val="minor"/>
      </rPr>
      <t xml:space="preserve"> on the Differences between expected and actual experience of the Total OPEB Liability. Expected remaining service lives, for current year deferrals, can be found beneath the </t>
    </r>
    <r>
      <rPr>
        <b/>
        <i/>
        <sz val="11"/>
        <color theme="1"/>
        <rFont val="Calibri"/>
        <family val="2"/>
        <scheme val="minor"/>
      </rPr>
      <t>Statement of OPEB Expense</t>
    </r>
    <r>
      <rPr>
        <b/>
        <sz val="11"/>
        <color theme="1"/>
        <rFont val="Calibri"/>
        <family val="2"/>
        <scheme val="minor"/>
      </rPr>
      <t xml:space="preserve">. (GASB75, par 157(a)(1))  </t>
    </r>
  </si>
  <si>
    <r>
      <t xml:space="preserve">6)    Entry to record the annual increase to the employers total deferred inflows/outflows of resources related to FY2018 changes in assumptions and other inputs. Each year’s increase will have its own separate amortization period (based on expected service lives of covered employees). It is recommended that employers track these deferrals in separate accounts to ease with tracking and validation of amounts. This amount can be found on the </t>
    </r>
    <r>
      <rPr>
        <b/>
        <i/>
        <sz val="11"/>
        <color theme="1"/>
        <rFont val="Calibri"/>
        <family val="2"/>
        <scheme val="minor"/>
      </rPr>
      <t>Schedule of Changes in Total OPEB Liability and Related Ratios</t>
    </r>
    <r>
      <rPr>
        <b/>
        <sz val="11"/>
        <color theme="1"/>
        <rFont val="Calibri"/>
        <family val="2"/>
        <scheme val="minor"/>
      </rPr>
      <t xml:space="preserve"> on the Changes of assumptions line. Expected remaining service lives, for current year deferrals, can be found beneath the Statement of OPEB Expense.(GASB75, par 157(a)(2))  </t>
    </r>
  </si>
  <si>
    <t>(if amount is negative, the credit will be to a deferred outflow account and the dedit will be to the OPEB liability account)</t>
  </si>
  <si>
    <t>Total Change in OPEB Liability</t>
  </si>
  <si>
    <t>1) DO Benefit Payments Subsequent to Measurement Date LGP</t>
  </si>
  <si>
    <t>2) Deferred Inflow of Resources 2018 Change in Assumptions LGP</t>
  </si>
  <si>
    <r>
      <rPr>
        <b/>
        <i/>
        <sz val="10"/>
        <color theme="1"/>
        <rFont val="Times New Roman"/>
        <family val="1"/>
      </rPr>
      <t>Benefits provided</t>
    </r>
    <r>
      <rPr>
        <sz val="10"/>
        <color theme="1"/>
        <rFont val="Times New Roman"/>
        <family val="1"/>
      </rPr>
      <t xml:space="preserve"> - The [entity] offers the LGOP to provide health insurance coverage to eligible pre-65 retirees and disabled participants of local governments. Insurance coverage is the only postemployment benefit provided to retirees. An insurance committee created in accordance with TCA 8-27-701 establishes and amends the benefit terms of the LGOP. All members have the option of choosing between the premier preferred provider organization (PPO), standard PPO, limited PPO or the wellness healthsavings consumer-driven health plan (CDHP) for healthcare benefits. Retired plan members, of the LGOP, receives the same plan benefits as active employees, at a blended premium rate that considers the cost of all participants. This creates an implicit subsidy for retirees. Participating employers determine their own policy related to direct subsidies provided for the retiree premiums.</t>
    </r>
    <r>
      <rPr>
        <b/>
        <sz val="10"/>
        <color theme="1"/>
        <rFont val="Times New Roman"/>
        <family val="1"/>
      </rPr>
      <t>[Entities should insert language to explain their direct subsidy policy for pre-65 retiree insurance coverage or the fact that they do not directly subsidize and are only subject to the implicit]</t>
    </r>
    <r>
      <rPr>
        <sz val="10"/>
        <color theme="1"/>
        <rFont val="Times New Roman"/>
        <family val="1"/>
      </rPr>
      <t>. The LGOP is funded on a pay-as-you-go basis and there are no assets accumulating in a trust that meets the criteria of paragraph 4 of GASB Statement No. 75.</t>
    </r>
  </si>
  <si>
    <r>
      <rPr>
        <b/>
        <i/>
        <sz val="10"/>
        <color theme="1"/>
        <rFont val="Times New Roman"/>
        <family val="1"/>
      </rPr>
      <t>Employees covered by benefit terms</t>
    </r>
    <r>
      <rPr>
        <sz val="10"/>
        <color theme="1"/>
        <rFont val="Times New Roman"/>
        <family val="1"/>
      </rPr>
      <t xml:space="preserve"> - At July 1, 2017, the following employees of [entity name] was covered by the benefit terms of the LGOP:</t>
    </r>
  </si>
  <si>
    <r>
      <rPr>
        <b/>
        <i/>
        <sz val="10"/>
        <color theme="1"/>
        <rFont val="Times New Roman"/>
        <family val="1"/>
      </rPr>
      <t>Deferred outflows of resources and deferred inflows of resources</t>
    </r>
    <r>
      <rPr>
        <sz val="10"/>
        <color theme="1"/>
        <rFont val="Times New Roman"/>
        <family val="1"/>
      </rPr>
      <t xml:space="preserve"> - For the fiscal year ended June, 30, 2018, [entity name] reported deferred outflows of resources and deferred inflows of resources related to OPEB benefits in the LGOP from the following sources:</t>
    </r>
  </si>
  <si>
    <t>EMPLOYER PROVIDED</t>
  </si>
  <si>
    <t>Narrative prepared by Finance and Administration, Division of Accounts staff.</t>
  </si>
  <si>
    <t>Narrative prepared by Finance and Administration, Division of Accounts staff. Individual employer will provide narrative on specific direct funding policy.</t>
  </si>
  <si>
    <t>Executive Summary page of individual valuation report</t>
  </si>
  <si>
    <t>Executive Summary - Estimated Outflow Subsequent to Measurement Date</t>
  </si>
  <si>
    <t>Notes to Schedule of Changes in Total OPEB Liability and Related Ratios page.</t>
  </si>
  <si>
    <t>7.5% for 2018, decreasing annually over a 33 year period to an ultimate rate of 3.71%.</t>
  </si>
  <si>
    <t>Healthcare Cost Trend Rates
(7.50% decreasing to 3.71%)</t>
  </si>
  <si>
    <t>1% Decrease
(6.50% decreasing to 2.71%)</t>
  </si>
  <si>
    <t>1% Increase
(8.50% decreasing to 4.71%)</t>
  </si>
  <si>
    <r>
      <rPr>
        <b/>
        <i/>
        <sz val="10"/>
        <color theme="1"/>
        <rFont val="Times New Roman"/>
        <family val="1"/>
      </rPr>
      <t>Sensitivity of total OPEB liability to changes in the healthcare cost trend rate</t>
    </r>
    <r>
      <rPr>
        <sz val="10"/>
        <color theme="1"/>
        <rFont val="Times New Roman"/>
        <family val="1"/>
      </rPr>
      <t xml:space="preserve"> - The following presents the total OPEB liability related to the LGOP, as well as what the total OPEB liability would be if it were calculated using a healthcare cost trend rate that is 1-percentage-point lower (6.50% decreasing to 2.71%) or 1-percentage-point higher (8.50% decreasing to 4.71%) than the current healthcare cost trend rate. (expressed in thousands)</t>
    </r>
  </si>
  <si>
    <t>Schedule of Changes in Total OPEB Liability and Related Ratios</t>
  </si>
  <si>
    <t>Same as above</t>
  </si>
  <si>
    <t>Overall valuation report for the Local Government OPEB Plan</t>
  </si>
  <si>
    <t>Narrative prepared by Finance and Administration, Division of Accounts staff. Detail appears in the overall valuation report for Local Government OPEB Plan</t>
  </si>
  <si>
    <t>Sensitivity of Total OPEB Liability and Other Relevant Information</t>
  </si>
  <si>
    <r>
      <t xml:space="preserve">Sensitivity of Total OPEB Liability and Other Relevant Information.  </t>
    </r>
    <r>
      <rPr>
        <sz val="11"/>
        <color rgb="FFFF0000"/>
        <rFont val="Calibri"/>
        <family val="2"/>
        <scheme val="minor"/>
      </rPr>
      <t>The report contains a typo in the header for this table.  The trend rates shown in this note template are the correct rates and matches the narrative on page 6.</t>
    </r>
  </si>
  <si>
    <t xml:space="preserve">Statement of OPEB Expense </t>
  </si>
  <si>
    <t>Executive Summary Page.  Deferred Outflows and Inflows of Resources by Source to be Recognized in Future OPEB Expense.</t>
  </si>
  <si>
    <t xml:space="preserve">Statement of Remaining Deferred Outflows and Inflows of Resources. </t>
  </si>
  <si>
    <t>Calculated</t>
  </si>
  <si>
    <t>Same as Above</t>
  </si>
  <si>
    <r>
      <rPr>
        <b/>
        <i/>
        <sz val="10"/>
        <rFont val="Times New Roman"/>
        <family val="1"/>
      </rPr>
      <t>Plan description</t>
    </r>
    <r>
      <rPr>
        <sz val="10"/>
        <rFont val="Times New Roman"/>
        <family val="1"/>
      </rPr>
      <t xml:space="preserve"> - Employees of [entity], who were hired prior to July 1, 2015, are provided with post-65 retiree health insurance benefits through the closed Tennessee Plan (TNP) administered by the  Tennessee Department of Finance and Administration. This plan is considered to be multiple-employer defined benefit plan that is used to provide postemployment benefits other than pensions (OPEB). However, for accounting purposes, this plan will be treated as a single-employer plan. All eligible post-65 retirees and disability participants of local governments, who choose coverage, participate in the TNP. The TNP also includes eligible retirees of the state, certain component units of the state, and local education agencies. This plan is closed to the employees of all participating employers that were hired on or after July 1, 2015.</t>
    </r>
  </si>
  <si>
    <r>
      <rPr>
        <b/>
        <i/>
        <sz val="10"/>
        <rFont val="Times New Roman"/>
        <family val="1"/>
      </rPr>
      <t>Benefits provided</t>
    </r>
    <r>
      <rPr>
        <sz val="10"/>
        <rFont val="Times New Roman"/>
        <family val="1"/>
      </rPr>
      <t xml:space="preserve"> - The state offers the TNP to help fill most of the coverage gaps created by Medicare for eligible post-65 retirees and disabled participants of local governments. Insurance coverage is the only postemployment benefit provided to retirees. The TNP does not include pharmacy. In accordance with TCA 8-27-209, benefits of the TNP are established and amended by cooperation of insurance committees created by TCA 8-27-201, 8-27-301 and 8-27-701.  Retirees and disabled employees of the state, component units, local education agencies, and certain local governments who have reached the age of 65, are Medicare eligible and also receives a benefit from the Tennessee Consolidated Retirement System may participate in this plan. All plan members receive the same plan benefits at the same premium rates.  Participating employers determine their own policy related to subsidizing the retiree premiums. </t>
    </r>
    <r>
      <rPr>
        <b/>
        <sz val="10"/>
        <rFont val="Times New Roman"/>
        <family val="1"/>
      </rPr>
      <t>[Entities should insert language to explain their direct subsidy policy for post-65 retiree insurance coverage or the fact that they do not directly subsidize]</t>
    </r>
    <r>
      <rPr>
        <sz val="10"/>
        <rFont val="Times New Roman"/>
        <family val="1"/>
      </rPr>
      <t>. The TNP is funded on a pay-as-you-go basis and there are no assets accumulating in a trust that meets the criteria of paragraph 4 of GASB Statement No. 75.</t>
    </r>
  </si>
  <si>
    <r>
      <rPr>
        <b/>
        <i/>
        <sz val="10"/>
        <rFont val="Times New Roman"/>
        <family val="1"/>
      </rPr>
      <t>Employees covered by benefit terms</t>
    </r>
    <r>
      <rPr>
        <sz val="10"/>
        <rFont val="Times New Roman"/>
        <family val="1"/>
      </rPr>
      <t xml:space="preserve"> - At July 1, 2017, the following employees of [entity name] was covered by the benefit terms of the TNP:</t>
    </r>
  </si>
  <si>
    <r>
      <rPr>
        <b/>
        <i/>
        <sz val="10"/>
        <rFont val="Times New Roman"/>
        <family val="1"/>
      </rPr>
      <t>Actuarial assumptions</t>
    </r>
    <r>
      <rPr>
        <sz val="10"/>
        <rFont val="Times New Roman"/>
        <family val="1"/>
      </rPr>
      <t xml:space="preserve"> - The collective total OPEB liability in the June 30, 2017 actuarial valuation was determined using the following actuarial assumptions and other inputs, applied to all periods included in the measurement, unless otherwise specified:</t>
    </r>
  </si>
  <si>
    <r>
      <rPr>
        <b/>
        <i/>
        <sz val="10"/>
        <rFont val="Times New Roman"/>
        <family val="1"/>
      </rPr>
      <t>Discount rate</t>
    </r>
    <r>
      <rPr>
        <sz val="10"/>
        <rFont val="Times New Roman"/>
        <family val="1"/>
      </rPr>
      <t xml:space="preserve"> - The discount rate used to measure the total OPEB liability was 3.56 percent.  This rate reflects the interest rate derived from yields on 20-year, tax-exempt general obligation municipal bonds, prevailing on the measurement date, with an average rating of AA/Aa as shown on the Fidelity 20-Year Municipal GO AA index.</t>
    </r>
  </si>
  <si>
    <r>
      <rPr>
        <b/>
        <i/>
        <sz val="10"/>
        <rFont val="Times New Roman"/>
        <family val="1"/>
      </rPr>
      <t xml:space="preserve">Changes in assumptions - </t>
    </r>
    <r>
      <rPr>
        <sz val="10"/>
        <rFont val="Times New Roman"/>
        <family val="1"/>
      </rPr>
      <t>The discount rate was changed from 2.92% as of the beginning of the measurement period to 3.56% as of June 30, 2017.  This change in assumption decreased the total OPEB liability.</t>
    </r>
  </si>
  <si>
    <r>
      <rPr>
        <b/>
        <i/>
        <sz val="10"/>
        <rFont val="Times New Roman"/>
        <family val="1"/>
      </rPr>
      <t xml:space="preserve">Changes in benefit terms - </t>
    </r>
    <r>
      <rPr>
        <sz val="10"/>
        <rFont val="Times New Roman"/>
        <family val="1"/>
      </rPr>
      <t>This section will include a brief discussion of any changes in benefit terms from the previous valuation (if applicable).</t>
    </r>
  </si>
  <si>
    <r>
      <rPr>
        <b/>
        <i/>
        <sz val="10"/>
        <rFont val="Times New Roman"/>
        <family val="1"/>
      </rPr>
      <t xml:space="preserve">Allocated insurance contracts - </t>
    </r>
    <r>
      <rPr>
        <sz val="10"/>
        <rFont val="Times New Roman"/>
        <family val="1"/>
      </rPr>
      <t>This section will include a brief discussion of any benefits, during measurement period attributable to allocated insurance contracts (if applicable).</t>
    </r>
  </si>
  <si>
    <r>
      <rPr>
        <b/>
        <i/>
        <sz val="10"/>
        <rFont val="Times New Roman"/>
        <family val="1"/>
      </rPr>
      <t xml:space="preserve">Significant changes subsequent to measurement date - </t>
    </r>
    <r>
      <rPr>
        <sz val="10"/>
        <rFont val="Times New Roman"/>
        <family val="1"/>
      </rPr>
      <t>This section will include a brief discussion of any changes during the period between the measurement date and the reporting date that is expected to have a significant impact on the total OPEB liability and the amount of the resultant change, if known (if applicable).</t>
    </r>
  </si>
  <si>
    <r>
      <rPr>
        <b/>
        <i/>
        <sz val="10"/>
        <rFont val="Times New Roman"/>
        <family val="1"/>
      </rPr>
      <t>Sensitivity of total OPEB liability to changes in the healthcare cost trend rate</t>
    </r>
    <r>
      <rPr>
        <sz val="10"/>
        <rFont val="Times New Roman"/>
        <family val="1"/>
      </rPr>
      <t xml:space="preserve"> - The following presents the total OPEB liability related to the TNP, as well as what the total OPEB liability would be if it were calculated using a healthcare cost trend rate that is 1-percentage-point lower (2.53) or 1-percentage-point higher (4.53) than the current healthcare cost trend rate. Premium subsidies in the Tennessee Plan are projected to remain unchanged and, consequently, trend rates are not applicable.</t>
    </r>
  </si>
  <si>
    <r>
      <rPr>
        <b/>
        <i/>
        <sz val="10"/>
        <rFont val="Times New Roman"/>
        <family val="1"/>
      </rPr>
      <t xml:space="preserve">OPEB expense - </t>
    </r>
    <r>
      <rPr>
        <sz val="10"/>
        <rFont val="Times New Roman"/>
        <family val="1"/>
      </rPr>
      <t>For the fiscal year ended June, 30, 2018, [entity name] recognized OPEB expense of $xxx.xx million.</t>
    </r>
  </si>
  <si>
    <r>
      <rPr>
        <b/>
        <i/>
        <sz val="10"/>
        <rFont val="Times New Roman"/>
        <family val="1"/>
      </rPr>
      <t xml:space="preserve">Deferred outflows of resources and deferred inflows of resources - </t>
    </r>
    <r>
      <rPr>
        <sz val="10"/>
        <rFont val="Times New Roman"/>
        <family val="1"/>
      </rPr>
      <t>For the fiscal year ended June, 30, 2018, [entity name] reported deferred outflows of resources and deferred inflows of resources related to OPEB benefits in the TNP from the following sources:</t>
    </r>
  </si>
  <si>
    <t>Employer</t>
  </si>
  <si>
    <t xml:space="preserve">Inactive Receiving </t>
  </si>
  <si>
    <t>Inactive Deferred</t>
  </si>
  <si>
    <t>Active</t>
  </si>
  <si>
    <t>Bells, City Of</t>
  </si>
  <si>
    <t>Bloomingdale Utility</t>
  </si>
  <si>
    <t>Bolivar</t>
  </si>
  <si>
    <t>City of Humboldt</t>
  </si>
  <si>
    <t>City of Lakewood</t>
  </si>
  <si>
    <t>City of Portland</t>
  </si>
  <si>
    <t>Clarksville Gas Water Sewer</t>
  </si>
  <si>
    <t>Clarksville General Fund</t>
  </si>
  <si>
    <t>Clinton Housing Authority</t>
  </si>
  <si>
    <t>Dekalb County</t>
  </si>
  <si>
    <t>Goodlettsville, City of</t>
  </si>
  <si>
    <t>Greeneville, Town of</t>
  </si>
  <si>
    <t>Hamblen Co Courthouse</t>
  </si>
  <si>
    <t>Hartsville/Trousdale County Government</t>
  </si>
  <si>
    <t xml:space="preserve">Jefferson City   </t>
  </si>
  <si>
    <t>Jefferson City Public Safety</t>
  </si>
  <si>
    <t>Kingston Spring</t>
  </si>
  <si>
    <t>Linebaugh Pub Lib</t>
  </si>
  <si>
    <t>Madison Suburban Utility District</t>
  </si>
  <si>
    <t>Middle Tenn UT Dist</t>
  </si>
  <si>
    <t>Milan, City of</t>
  </si>
  <si>
    <t>Monroe County</t>
  </si>
  <si>
    <t>Norris</t>
  </si>
  <si>
    <t>Overton County</t>
  </si>
  <si>
    <t>Overton County 911</t>
  </si>
  <si>
    <t>Overton County Highway Department</t>
  </si>
  <si>
    <t>Overton County Nursing Home</t>
  </si>
  <si>
    <t>Scott County</t>
  </si>
  <si>
    <t>Scott County Ambulance Service</t>
  </si>
  <si>
    <t>Scott County Road Dept</t>
  </si>
  <si>
    <t>Sevier County</t>
  </si>
  <si>
    <t>Sumner County</t>
  </si>
  <si>
    <t>Tennessee CSA</t>
  </si>
  <si>
    <t>Tennessee Education Association</t>
  </si>
  <si>
    <t>TN Co Hwy Officials Asn</t>
  </si>
  <si>
    <t>TN Co Serv Assn</t>
  </si>
  <si>
    <t>TN County Commissioners Assn.</t>
  </si>
  <si>
    <t>TN Sec Sch Ath Assn</t>
  </si>
  <si>
    <t>TN State Employees Assn.</t>
  </si>
  <si>
    <t>Town of Clinton</t>
  </si>
  <si>
    <t>Union County General Fund</t>
  </si>
  <si>
    <t>Washington County- Johnson City 911</t>
  </si>
  <si>
    <t>White House, City of</t>
  </si>
  <si>
    <t>Williamson County</t>
  </si>
  <si>
    <t xml:space="preserve">Woodbury  </t>
  </si>
  <si>
    <r>
      <t xml:space="preserve">1) Prior period adjustment to record the employers total OPEB liability, for the TNP, at the beginning of the measurement period (June 30, 2016 - June 30, 2017). The employer balance, per fiscal year 17 financials, is provided by the employer. The proper beginning balance, per the valuation, is found on the </t>
    </r>
    <r>
      <rPr>
        <b/>
        <i/>
        <sz val="11"/>
        <color theme="1"/>
        <rFont val="Calibri"/>
        <family val="2"/>
        <scheme val="minor"/>
      </rPr>
      <t>Schedule of Changes in Total OPEB Liability and Related Ratios</t>
    </r>
    <r>
      <rPr>
        <b/>
        <sz val="11"/>
        <color theme="1"/>
        <rFont val="Calibri"/>
        <family val="2"/>
        <scheme val="minor"/>
      </rPr>
      <t xml:space="preserve"> on the Total OPEB Liability - Beginning line. (GASB75, par 146; par 244 par 244(b))</t>
    </r>
  </si>
  <si>
    <r>
      <t xml:space="preserve">1) Prior period adjustment to record the employers total OPEB liability, for the LGOP, at the beginning of the measurement period (June 30, 2016 - June 30, 2017). The employer balance, per fiscal year 17 financials, is provided by the employer. The proper beginning balance, per the valuation, is found on the </t>
    </r>
    <r>
      <rPr>
        <b/>
        <i/>
        <sz val="11"/>
        <color theme="1"/>
        <rFont val="Calibri"/>
        <family val="2"/>
        <scheme val="minor"/>
      </rPr>
      <t>Schedule of Changes in Total OPEB Liability and Related Ratios</t>
    </r>
    <r>
      <rPr>
        <b/>
        <sz val="11"/>
        <color theme="1"/>
        <rFont val="Calibri"/>
        <family val="2"/>
        <scheme val="minor"/>
      </rPr>
      <t xml:space="preserve"> on the Total OPEB Liability - Beginning line. (GASB75, par 146; par 244 par 244(b))</t>
    </r>
  </si>
  <si>
    <t>Required OPEB Accounting Entries for Fiscal Year Ended June 30, 2018 Tennessee Plan (TNP)</t>
  </si>
  <si>
    <t>Required OPEB Accounting Entries for Fiscal Year Ended June 30, 2018 Local Government OPEB Plan (LGOP)</t>
  </si>
  <si>
    <t>All amounts are rounded to the dollar</t>
  </si>
  <si>
    <t>Experience Amortization</t>
  </si>
  <si>
    <r>
      <rPr>
        <sz val="11"/>
        <color rgb="FFFF0000"/>
        <rFont val="Calibri"/>
        <family val="2"/>
        <scheme val="minor"/>
      </rPr>
      <t>NOTE</t>
    </r>
    <r>
      <rPr>
        <sz val="11"/>
        <color theme="1"/>
        <rFont val="Calibri"/>
        <family val="2"/>
        <scheme val="minor"/>
      </rPr>
      <t xml:space="preserve">: These journal entries have been prepared to assist management with the required OPEB entries.  It is the responsibility of management to understand the entries and to verify the amounts against the valuation results. </t>
    </r>
  </si>
  <si>
    <t>TNP - (expressed in thousands)</t>
  </si>
  <si>
    <r>
      <rPr>
        <b/>
        <i/>
        <sz val="10"/>
        <rFont val="Times New Roman"/>
        <family val="1"/>
      </rPr>
      <t>Sensitivity of total OPEB liability to changes in the discount rate</t>
    </r>
    <r>
      <rPr>
        <sz val="10"/>
        <rFont val="Times New Roman"/>
        <family val="1"/>
      </rPr>
      <t xml:space="preserve"> - The following presents the total OPEB liability related to the TNP, as well as what the total OPEB liability would be if it were calculated using a discount rate that is 1-percentage-point lower (2.56%) or 1-percentage-point higher (4.56%) than the current discount rate. (expressed in thousands)</t>
    </r>
  </si>
  <si>
    <t xml:space="preserve">This amount is provided by the employer.  Covered employee payroll should be the total payroll paid to full time employees, hired prior to July 1, 2015, during FY2017.  This number should include terminated employees </t>
  </si>
  <si>
    <t>Narrative prepared by Finance and Administration, Division of Accounts staff. Current year payments is found on Executive Summary page of individual valuation.  Amount is titled Estimated Outflow of Resources Paid After the Measurement Date</t>
  </si>
  <si>
    <r>
      <rPr>
        <b/>
        <i/>
        <sz val="10"/>
        <rFont val="Times New Roman"/>
        <family val="1"/>
      </rPr>
      <t>Plan description</t>
    </r>
    <r>
      <rPr>
        <sz val="10"/>
        <rFont val="Times New Roman"/>
        <family val="1"/>
      </rPr>
      <t xml:space="preserve"> - Employees of [entity], who were hired prior to July 1, 2015, are provided with pre-65 retiree health insurance benefits through the closed Local Government OPEB Plan (LGOP) administered by the Tennessee Department of Finance and Administration. This plan is considered to be multiple-employer defined benefit plan that is used to provide postemployment benefits other than pensions (OPEB). However, for accounting purposes, this plan will be treated as a single-employer plan. All eligible pre-65 retired employees and disability participants of local governments, who choose coverage, participate in the LGOP. This plan is closed to the employees of all participating employers that were hired on or after July 1, 2015.</t>
    </r>
  </si>
  <si>
    <t>South Pittsburg Housing Authority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</si>
</sst>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409]mmmm\ d\,\ yyyy;@"/>
    <numFmt numFmtId="167" formatCode="General_)"/>
    <numFmt numFmtId="168" formatCode="#,##0\ ;\(#,##0\);\-\ \ \ \ \ "/>
    <numFmt numFmtId="169" formatCode="#,##0\ ;\(#,##0\);\–\ \ \ \ \ "/>
    <numFmt numFmtId="170" formatCode="&quot;(&quot;m/d/yy&quot;)&quot;"/>
    <numFmt numFmtId="171" formatCode="mmmm\ d\,\ yyyy"/>
    <numFmt numFmtId="172" formatCode="_(* #,##0.00_);_(* \(#,##0.00\);_(* \-??_);_(@_)"/>
    <numFmt numFmtId="173" formatCode="#,##0\ \ \ ;[Red]\(#,##0\)\ \ ;\—\ \ \ \ "/>
    <numFmt numFmtId="174" formatCode="#,##0;\-#,##0"/>
    <numFmt numFmtId="175" formatCode="#,##0.0000000000;\-#,##0.0000000000"/>
    <numFmt numFmtId="176" formatCode="#,##0.0;\-#,##0.0"/>
    <numFmt numFmtId="177" formatCode="#,##0.00;\-#,##0.00"/>
    <numFmt numFmtId="178" formatCode="#,##0.000;\-#,##0.000"/>
    <numFmt numFmtId="179" formatCode="#,##0.0000;\-#,##0.0000"/>
    <numFmt numFmtId="180" formatCode="#,##0.00000;\-#,##0.00000"/>
    <numFmt numFmtId="181" formatCode="#,##0.000000;\-#,##0.000000"/>
    <numFmt numFmtId="182" formatCode="#,##0.0000000;\-#,##0.0000000"/>
    <numFmt numFmtId="183" formatCode="#,##0.00000000;\-#,##0.00000000"/>
    <numFmt numFmtId="184" formatCode="#,##0.000000000;\-#,##0.000000000"/>
    <numFmt numFmtId="185" formatCode="&quot;$&quot;\ \ \ #,##0.00_);[Red]\(&quot;$&quot;#,##0.00\)"/>
    <numFmt numFmtId="186" formatCode="\ \ \ #,##0.00_);[Red]\(#,##0.00\)"/>
    <numFmt numFmtId="187" formatCode="#,##0.0"/>
  </numFmts>
  <fonts count="87">
    <font>
      <sz val="11"/>
      <color theme="1"/>
      <name val="Calibri"/>
      <family val="2"/>
      <scheme val="minor"/>
    </font>
    <font>
      <sz val="11"/>
      <color theme="1"/>
      <name val="Calibri"/>
      <family val="2"/>
      <scheme val="minor"/>
    </font>
    <font>
      <b/>
      <sz val="11"/>
      <color theme="1"/>
      <name val="Calibri"/>
      <family val="2"/>
      <scheme val="minor"/>
    </font>
    <font>
      <b/>
      <sz val="10"/>
      <color theme="1"/>
      <name val="Times New Roman"/>
      <family val="1"/>
    </font>
    <font>
      <sz val="10"/>
      <color theme="1"/>
      <name val="Times New Roman"/>
      <family val="1"/>
    </font>
    <font>
      <b/>
      <i/>
      <sz val="10"/>
      <color theme="1"/>
      <name val="Times New Roman"/>
      <family val="1"/>
    </font>
    <font>
      <sz val="10"/>
      <name val="Times New Roman"/>
      <family val="1"/>
    </font>
    <font>
      <sz val="10"/>
      <name val="Arial"/>
      <family val="2"/>
    </font>
    <font>
      <sz val="11"/>
      <color indexed="8"/>
      <name val="Calibri"/>
      <family val="2"/>
      <scheme val="minor"/>
    </font>
    <font>
      <b/>
      <sz val="10"/>
      <name val="Arial Unicode MS"/>
      <family val="2"/>
    </font>
    <font>
      <sz val="10"/>
      <name val="MS Sans Serif"/>
      <family val="2"/>
    </font>
    <font>
      <sz val="10"/>
      <name val="Arial Unicode MS"/>
      <family val="2"/>
    </font>
    <font>
      <u/>
      <sz val="8"/>
      <color indexed="12"/>
      <name val="Times New Roman"/>
      <family val="1"/>
    </font>
    <font>
      <sz val="10"/>
      <color rgb="FF000000"/>
      <name val="Times New Roman"/>
      <family val="1"/>
    </font>
    <font>
      <sz val="8"/>
      <name val="Times New Roman"/>
      <family val="1"/>
    </font>
    <font>
      <sz val="11"/>
      <color rgb="FF000000"/>
      <name val="Calibri"/>
      <family val="2"/>
      <scheme val="minor"/>
    </font>
    <font>
      <sz val="8"/>
      <name val="Helv"/>
    </font>
    <font>
      <b/>
      <i/>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name val="Times New Roman"/>
      <family val="1"/>
    </font>
    <font>
      <b/>
      <i/>
      <sz val="8"/>
      <name val="Times New Roman"/>
      <family val="1"/>
    </font>
    <font>
      <b/>
      <sz val="8"/>
      <color rgb="FFFFFFFF"/>
      <name val="Times New Roman"/>
      <family val="1"/>
    </font>
    <font>
      <sz val="10"/>
      <color indexed="8"/>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Courier New"/>
      <family val="3"/>
    </font>
    <font>
      <sz val="10"/>
      <color theme="1"/>
      <name val="Arial"/>
      <family val="2"/>
    </font>
    <font>
      <b/>
      <sz val="8"/>
      <color indexed="8"/>
      <name val="Arial"/>
      <family val="2"/>
    </font>
    <font>
      <sz val="11"/>
      <name val="Times New Roman"/>
      <family val="1"/>
    </font>
    <font>
      <sz val="11"/>
      <color theme="0"/>
      <name val="Times New Roman"/>
      <family val="1"/>
    </font>
    <font>
      <b/>
      <sz val="11"/>
      <color theme="0"/>
      <name val="Times New Roman"/>
      <family val="1"/>
    </font>
    <font>
      <b/>
      <i/>
      <sz val="11"/>
      <name val="Times New Roman"/>
      <family val="1"/>
    </font>
    <font>
      <b/>
      <i/>
      <sz val="10"/>
      <name val="Times New Roman"/>
      <family val="1"/>
    </font>
    <font>
      <sz val="10"/>
      <color indexed="9"/>
      <name val="Arial"/>
      <family val="2"/>
    </font>
    <font>
      <sz val="10"/>
      <color indexed="20"/>
      <name val="Arial"/>
      <family val="2"/>
    </font>
    <font>
      <b/>
      <sz val="10"/>
      <color indexed="52"/>
      <name val="Arial"/>
      <family val="2"/>
    </font>
    <font>
      <b/>
      <sz val="10"/>
      <color indexed="9"/>
      <name val="Arial"/>
      <family val="2"/>
    </font>
    <font>
      <sz val="10"/>
      <name val="AGaramond SemiboldItalic"/>
    </font>
    <font>
      <sz val="10"/>
      <name val="AGaramond"/>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u/>
      <sz val="10"/>
      <color theme="10"/>
      <name val="Arial"/>
      <family val="2"/>
    </font>
    <font>
      <sz val="10"/>
      <color indexed="62"/>
      <name val="Arial"/>
      <family val="2"/>
    </font>
    <font>
      <sz val="10"/>
      <color indexed="52"/>
      <name val="Arial"/>
      <family val="2"/>
    </font>
    <font>
      <sz val="10"/>
      <color indexed="60"/>
      <name val="Arial"/>
      <family val="2"/>
    </font>
    <font>
      <sz val="7"/>
      <name val="Small Fonts"/>
      <family val="2"/>
    </font>
    <font>
      <sz val="12"/>
      <name val="Arial MT"/>
    </font>
    <font>
      <b/>
      <sz val="10"/>
      <color indexed="63"/>
      <name val="Arial"/>
      <family val="2"/>
    </font>
    <font>
      <b/>
      <sz val="10"/>
      <color indexed="8"/>
      <name val="Arial"/>
      <family val="2"/>
    </font>
    <font>
      <sz val="10"/>
      <name val="Palatino"/>
      <family val="1"/>
    </font>
    <font>
      <sz val="10"/>
      <color indexed="10"/>
      <name val="Arial"/>
      <family val="2"/>
    </font>
    <font>
      <sz val="11"/>
      <name val="Calibri"/>
      <family val="2"/>
      <scheme val="minor"/>
    </font>
    <font>
      <b/>
      <sz val="10"/>
      <name val="Times New Roman"/>
      <family val="1"/>
    </font>
  </fonts>
  <fills count="63">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528DD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17"/>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59999389629810485"/>
        <bgColor indexed="64"/>
      </patternFill>
    </fill>
  </fills>
  <borders count="4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23"/>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79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0"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6" fontId="12" fillId="0" borderId="0" applyNumberFormat="0" applyFill="0" applyBorder="0" applyAlignment="0" applyProtection="0">
      <alignment vertical="top"/>
      <protection locked="0"/>
    </xf>
    <xf numFmtId="166" fontId="12" fillId="0" borderId="0" applyNumberFormat="0" applyFill="0" applyBorder="0" applyAlignment="0" applyProtection="0">
      <alignment vertical="top"/>
      <protection locked="0"/>
    </xf>
    <xf numFmtId="166" fontId="12" fillId="0" borderId="0" applyNumberFormat="0" applyFill="0" applyBorder="0" applyAlignment="0" applyProtection="0">
      <alignment vertical="top"/>
      <protection locked="0"/>
    </xf>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1" fillId="0" borderId="0"/>
    <xf numFmtId="0" fontId="7" fillId="0" borderId="0"/>
    <xf numFmtId="0" fontId="13" fillId="0" borderId="0"/>
    <xf numFmtId="0" fontId="11" fillId="0" borderId="0"/>
    <xf numFmtId="0" fontId="11" fillId="0" borderId="0"/>
    <xf numFmtId="0" fontId="11" fillId="0" borderId="0"/>
    <xf numFmtId="0" fontId="11" fillId="0" borderId="0"/>
    <xf numFmtId="0" fontId="8" fillId="0" borderId="0"/>
    <xf numFmtId="0" fontId="7" fillId="0" borderId="0"/>
    <xf numFmtId="0" fontId="11" fillId="0" borderId="0"/>
    <xf numFmtId="0" fontId="7" fillId="0" borderId="0"/>
    <xf numFmtId="0" fontId="7" fillId="0" borderId="0"/>
    <xf numFmtId="0" fontId="11" fillId="0" borderId="0"/>
    <xf numFmtId="0" fontId="7" fillId="0" borderId="0"/>
    <xf numFmtId="0" fontId="8" fillId="0" borderId="0"/>
    <xf numFmtId="39"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1" fillId="0" borderId="0"/>
    <xf numFmtId="0" fontId="11" fillId="0" borderId="0"/>
    <xf numFmtId="0" fontId="1" fillId="0" borderId="0"/>
    <xf numFmtId="0" fontId="1" fillId="0" borderId="0"/>
    <xf numFmtId="0" fontId="1" fillId="0" borderId="0"/>
    <xf numFmtId="0" fontId="1" fillId="0" borderId="0"/>
    <xf numFmtId="0" fontId="7" fillId="0" borderId="0"/>
    <xf numFmtId="0" fontId="8" fillId="0" borderId="0"/>
    <xf numFmtId="39" fontId="14" fillId="0" borderId="0"/>
    <xf numFmtId="0" fontId="7" fillId="0" borderId="0"/>
    <xf numFmtId="0" fontId="7" fillId="0" borderId="0"/>
    <xf numFmtId="0" fontId="7" fillId="0" borderId="0"/>
    <xf numFmtId="39" fontId="14" fillId="0" borderId="0"/>
    <xf numFmtId="0" fontId="11" fillId="0" borderId="0"/>
    <xf numFmtId="0" fontId="7" fillId="0" borderId="0"/>
    <xf numFmtId="0" fontId="15" fillId="0" borderId="0"/>
    <xf numFmtId="0" fontId="11" fillId="0" borderId="0"/>
    <xf numFmtId="0" fontId="1" fillId="0" borderId="0"/>
    <xf numFmtId="167" fontId="16" fillId="0" borderId="0"/>
    <xf numFmtId="39" fontId="14"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8" fillId="0" borderId="0" applyNumberFormat="0" applyFill="0" applyBorder="0" applyAlignment="0" applyProtection="0"/>
    <xf numFmtId="0" fontId="19" fillId="0" borderId="13" applyNumberFormat="0" applyFill="0" applyAlignment="0" applyProtection="0"/>
    <xf numFmtId="0" fontId="20" fillId="0" borderId="14" applyNumberFormat="0" applyFill="0" applyAlignment="0" applyProtection="0"/>
    <xf numFmtId="0" fontId="21" fillId="0" borderId="15" applyNumberFormat="0" applyFill="0" applyAlignment="0" applyProtection="0"/>
    <xf numFmtId="0" fontId="21" fillId="0" borderId="0" applyNumberFormat="0" applyFill="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4" fillId="18" borderId="0" applyNumberFormat="0" applyBorder="0" applyAlignment="0" applyProtection="0"/>
    <xf numFmtId="0" fontId="25" fillId="19" borderId="16" applyNumberFormat="0" applyAlignment="0" applyProtection="0"/>
    <xf numFmtId="0" fontId="26" fillId="20" borderId="17" applyNumberFormat="0" applyAlignment="0" applyProtection="0"/>
    <xf numFmtId="0" fontId="27" fillId="20" borderId="16" applyNumberFormat="0" applyAlignment="0" applyProtection="0"/>
    <xf numFmtId="0" fontId="28" fillId="0" borderId="18" applyNumberFormat="0" applyFill="0" applyAlignment="0" applyProtection="0"/>
    <xf numFmtId="0" fontId="29" fillId="21" borderId="19"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2" fillId="0" borderId="20" applyNumberFormat="0" applyFill="0" applyAlignment="0" applyProtection="0"/>
    <xf numFmtId="0" fontId="32" fillId="2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2" fillId="33" borderId="0" applyNumberFormat="0" applyBorder="0" applyAlignment="0" applyProtection="0"/>
    <xf numFmtId="0" fontId="7" fillId="0" borderId="0"/>
    <xf numFmtId="0" fontId="21" fillId="0" borderId="0" applyNumberFormat="0" applyFill="0" applyBorder="0" applyAlignment="0" applyProtection="0"/>
    <xf numFmtId="0" fontId="29" fillId="21" borderId="19" applyNumberFormat="0" applyAlignment="0" applyProtection="0"/>
    <xf numFmtId="44" fontId="7" fillId="0" borderId="0" applyFont="0" applyFill="0" applyBorder="0" applyAlignment="0" applyProtection="0"/>
    <xf numFmtId="0" fontId="22" fillId="16" borderId="0" applyNumberFormat="0" applyBorder="0" applyAlignment="0" applyProtection="0"/>
    <xf numFmtId="0" fontId="38" fillId="39" borderId="0" applyNumberFormat="0" applyBorder="0" applyAlignment="0" applyProtection="0"/>
    <xf numFmtId="0" fontId="38" fillId="40" borderId="0" applyNumberFormat="0" applyBorder="0" applyAlignment="0" applyProtection="0"/>
    <xf numFmtId="0" fontId="18"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0" fontId="30" fillId="0" borderId="0" applyNumberFormat="0" applyFill="0" applyBorder="0" applyAlignment="0" applyProtection="0"/>
    <xf numFmtId="0" fontId="28" fillId="0" borderId="18" applyNumberFormat="0" applyFill="0" applyAlignment="0" applyProtection="0"/>
    <xf numFmtId="43" fontId="13" fillId="0" borderId="0" applyFont="0" applyFill="0" applyBorder="0" applyAlignment="0" applyProtection="0"/>
    <xf numFmtId="43" fontId="1" fillId="0" borderId="0" applyFont="0" applyFill="0" applyBorder="0" applyAlignment="0" applyProtection="0"/>
    <xf numFmtId="0" fontId="38" fillId="41" borderId="0" applyNumberFormat="0" applyBorder="0" applyAlignment="0" applyProtection="0"/>
    <xf numFmtId="0" fontId="19" fillId="0" borderId="13" applyNumberFormat="0" applyFill="0" applyAlignment="0" applyProtection="0"/>
    <xf numFmtId="0" fontId="32" fillId="32" borderId="0" applyNumberFormat="0" applyBorder="0" applyAlignment="0" applyProtection="0"/>
    <xf numFmtId="0" fontId="39" fillId="47" borderId="0" applyNumberFormat="0" applyBorder="0" applyAlignment="0" applyProtection="0"/>
    <xf numFmtId="0" fontId="27" fillId="20" borderId="16" applyNumberFormat="0" applyAlignment="0" applyProtection="0"/>
    <xf numFmtId="0" fontId="38" fillId="42" borderId="0" applyNumberFormat="0" applyBorder="0" applyAlignment="0" applyProtection="0"/>
    <xf numFmtId="0" fontId="37" fillId="0" borderId="0"/>
    <xf numFmtId="0" fontId="39" fillId="48" borderId="0" applyNumberFormat="0" applyBorder="0" applyAlignment="0" applyProtection="0"/>
    <xf numFmtId="43" fontId="1" fillId="0" borderId="0" applyFont="0" applyFill="0" applyBorder="0" applyAlignment="0" applyProtection="0"/>
    <xf numFmtId="0" fontId="38" fillId="44" borderId="0" applyNumberFormat="0" applyBorder="0" applyAlignment="0" applyProtection="0"/>
    <xf numFmtId="0" fontId="42" fillId="54" borderId="25" applyNumberFormat="0" applyAlignment="0" applyProtection="0"/>
    <xf numFmtId="0" fontId="38" fillId="43" borderId="0" applyNumberFormat="0" applyBorder="0" applyAlignment="0" applyProtection="0"/>
    <xf numFmtId="43" fontId="7" fillId="0" borderId="0" applyFont="0" applyFill="0" applyBorder="0" applyAlignment="0" applyProtection="0"/>
    <xf numFmtId="0" fontId="46" fillId="0" borderId="27" applyNumberFormat="0" applyFill="0" applyAlignment="0" applyProtection="0"/>
    <xf numFmtId="0" fontId="26" fillId="20" borderId="17" applyNumberFormat="0" applyAlignment="0" applyProtection="0"/>
    <xf numFmtId="43" fontId="7" fillId="0" borderId="0" applyFont="0" applyFill="0" applyBorder="0" applyAlignment="0" applyProtection="0"/>
    <xf numFmtId="0" fontId="51" fillId="41" borderId="31" applyNumberFormat="0" applyAlignment="0" applyProtection="0"/>
    <xf numFmtId="0" fontId="1" fillId="0" borderId="0"/>
    <xf numFmtId="0" fontId="32" fillId="24" borderId="0" applyNumberFormat="0" applyBorder="0" applyAlignment="0" applyProtection="0"/>
    <xf numFmtId="0" fontId="2" fillId="0" borderId="20" applyNumberFormat="0" applyFill="0" applyAlignment="0" applyProtection="0"/>
    <xf numFmtId="0" fontId="38" fillId="42" borderId="0" applyNumberFormat="0" applyBorder="0" applyAlignment="0" applyProtection="0"/>
    <xf numFmtId="0" fontId="21" fillId="0" borderId="15" applyNumberFormat="0" applyFill="0" applyAlignment="0" applyProtection="0"/>
    <xf numFmtId="0" fontId="39" fillId="52" borderId="0" applyNumberFormat="0" applyBorder="0" applyAlignment="0" applyProtection="0"/>
    <xf numFmtId="0" fontId="56" fillId="0" borderId="0"/>
    <xf numFmtId="49" fontId="57" fillId="57" borderId="33">
      <alignment horizontal="center" vertical="center"/>
    </xf>
    <xf numFmtId="0" fontId="7" fillId="56" borderId="30" applyNumberFormat="0" applyFont="0" applyAlignment="0" applyProtection="0"/>
    <xf numFmtId="0" fontId="32" fillId="33" borderId="0" applyNumberFormat="0" applyBorder="0" applyAlignment="0" applyProtection="0"/>
    <xf numFmtId="0" fontId="39" fillId="48" borderId="0" applyNumberFormat="0" applyBorder="0" applyAlignment="0" applyProtection="0"/>
    <xf numFmtId="0" fontId="13" fillId="0" borderId="0"/>
    <xf numFmtId="0" fontId="39" fillId="53" borderId="0" applyNumberFormat="0" applyBorder="0" applyAlignment="0" applyProtection="0"/>
    <xf numFmtId="0" fontId="24" fillId="18" borderId="0" applyNumberFormat="0" applyBorder="0" applyAlignment="0" applyProtection="0"/>
    <xf numFmtId="9" fontId="7" fillId="0" borderId="0" applyFont="0" applyFill="0" applyBorder="0" applyAlignment="0" applyProtection="0"/>
    <xf numFmtId="0" fontId="20" fillId="0" borderId="14" applyNumberFormat="0" applyFill="0" applyAlignment="0" applyProtection="0"/>
    <xf numFmtId="0" fontId="55" fillId="0" borderId="0"/>
    <xf numFmtId="0" fontId="38" fillId="38" borderId="0" applyNumberFormat="0" applyBorder="0" applyAlignment="0" applyProtection="0"/>
    <xf numFmtId="0" fontId="48" fillId="40" borderId="24" applyNumberFormat="0" applyAlignment="0" applyProtection="0"/>
    <xf numFmtId="0" fontId="52" fillId="0" borderId="0" applyNumberFormat="0" applyFill="0" applyBorder="0" applyAlignment="0" applyProtection="0"/>
    <xf numFmtId="43" fontId="7" fillId="0" borderId="0" applyFont="0" applyFill="0" applyBorder="0" applyAlignment="0" applyProtection="0"/>
    <xf numFmtId="0" fontId="39" fillId="46" borderId="0" applyNumberFormat="0" applyBorder="0" applyAlignment="0" applyProtection="0"/>
    <xf numFmtId="0" fontId="32" fillId="27" borderId="0" applyNumberFormat="0" applyBorder="0" applyAlignment="0" applyProtection="0"/>
    <xf numFmtId="9" fontId="7" fillId="0" borderId="0" applyFont="0" applyFill="0" applyBorder="0" applyAlignment="0" applyProtection="0"/>
    <xf numFmtId="0" fontId="31" fillId="0" borderId="0" applyNumberForma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49" fillId="0" borderId="29" applyNumberFormat="0" applyFill="0" applyAlignment="0" applyProtection="0"/>
    <xf numFmtId="0" fontId="32" fillId="23" borderId="0" applyNumberFormat="0" applyBorder="0" applyAlignment="0" applyProtection="0"/>
    <xf numFmtId="0" fontId="39" fillId="49" borderId="0" applyNumberFormat="0" applyBorder="0" applyAlignment="0" applyProtection="0"/>
    <xf numFmtId="0" fontId="39" fillId="43" borderId="0" applyNumberFormat="0" applyBorder="0" applyAlignment="0" applyProtection="0"/>
    <xf numFmtId="0" fontId="32" fillId="22" borderId="0" applyNumberFormat="0" applyBorder="0" applyAlignment="0" applyProtection="0"/>
    <xf numFmtId="0" fontId="39" fillId="50" borderId="0" applyNumberFormat="0" applyBorder="0" applyAlignment="0" applyProtection="0"/>
    <xf numFmtId="0" fontId="32" fillId="29" borderId="0" applyNumberFormat="0" applyBorder="0" applyAlignment="0" applyProtection="0"/>
    <xf numFmtId="0" fontId="41" fillId="41" borderId="24" applyNumberFormat="0" applyAlignment="0" applyProtection="0"/>
    <xf numFmtId="0" fontId="7" fillId="0" borderId="0"/>
    <xf numFmtId="0" fontId="47" fillId="0" borderId="0" applyNumberFormat="0" applyFill="0" applyBorder="0" applyAlignment="0" applyProtection="0"/>
    <xf numFmtId="0" fontId="11" fillId="0" borderId="0"/>
    <xf numFmtId="0" fontId="38" fillId="37" borderId="0" applyNumberFormat="0" applyBorder="0" applyAlignment="0" applyProtection="0"/>
    <xf numFmtId="0" fontId="25" fillId="19" borderId="16" applyNumberFormat="0" applyAlignment="0" applyProtection="0"/>
    <xf numFmtId="0" fontId="32" fillId="25" borderId="0" applyNumberFormat="0" applyBorder="0" applyAlignment="0" applyProtection="0"/>
    <xf numFmtId="0" fontId="44" fillId="37" borderId="0" applyNumberFormat="0" applyBorder="0" applyAlignment="0" applyProtection="0"/>
    <xf numFmtId="0" fontId="32" fillId="31" borderId="0" applyNumberFormat="0" applyBorder="0" applyAlignment="0" applyProtection="0"/>
    <xf numFmtId="0" fontId="45" fillId="0" borderId="26" applyNumberFormat="0" applyFill="0" applyAlignment="0" applyProtection="0"/>
    <xf numFmtId="0" fontId="50" fillId="55" borderId="0" applyNumberFormat="0" applyBorder="0" applyAlignment="0" applyProtection="0"/>
    <xf numFmtId="43"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43" fillId="0" borderId="0" applyNumberFormat="0" applyFill="0" applyBorder="0" applyAlignment="0" applyProtection="0"/>
    <xf numFmtId="0" fontId="38" fillId="35" borderId="0" applyNumberFormat="0" applyBorder="0" applyAlignment="0" applyProtection="0"/>
    <xf numFmtId="0" fontId="38" fillId="36" borderId="0" applyNumberFormat="0" applyBorder="0" applyAlignment="0" applyProtection="0"/>
    <xf numFmtId="0" fontId="32" fillId="28" borderId="0" applyNumberFormat="0" applyBorder="0" applyAlignment="0" applyProtection="0"/>
    <xf numFmtId="0" fontId="48" fillId="41" borderId="24" applyNumberFormat="0" applyAlignment="0" applyProtection="0"/>
    <xf numFmtId="0" fontId="38" fillId="45" borderId="0" applyNumberFormat="0" applyBorder="0" applyAlignment="0" applyProtection="0"/>
    <xf numFmtId="0" fontId="53" fillId="0" borderId="32" applyNumberFormat="0" applyFill="0" applyAlignment="0" applyProtection="0"/>
    <xf numFmtId="0" fontId="23" fillId="17" borderId="0" applyNumberFormat="0" applyBorder="0" applyAlignment="0" applyProtection="0"/>
    <xf numFmtId="9" fontId="7" fillId="0" borderId="0" applyFont="0" applyFill="0" applyBorder="0" applyAlignment="0" applyProtection="0"/>
    <xf numFmtId="0" fontId="54" fillId="0" borderId="0" applyNumberFormat="0" applyFill="0" applyBorder="0" applyAlignment="0" applyProtection="0"/>
    <xf numFmtId="0" fontId="32" fillId="30" borderId="0" applyNumberFormat="0" applyBorder="0" applyAlignment="0" applyProtection="0"/>
    <xf numFmtId="0" fontId="32" fillId="26" borderId="0" applyNumberFormat="0" applyBorder="0" applyAlignment="0" applyProtection="0"/>
    <xf numFmtId="0" fontId="7" fillId="56" borderId="30" applyNumberFormat="0" applyFont="0" applyAlignment="0" applyProtection="0"/>
    <xf numFmtId="43" fontId="56" fillId="0" borderId="0" applyFont="0" applyFill="0" applyBorder="0" applyAlignment="0" applyProtection="0"/>
    <xf numFmtId="0" fontId="1" fillId="0" borderId="0"/>
    <xf numFmtId="0" fontId="7" fillId="56" borderId="30" applyNumberFormat="0" applyFont="0" applyAlignment="0" applyProtection="0"/>
    <xf numFmtId="0" fontId="39" fillId="44" borderId="0" applyNumberFormat="0" applyBorder="0" applyAlignment="0" applyProtection="0"/>
    <xf numFmtId="0" fontId="39" fillId="47" borderId="0" applyNumberFormat="0" applyBorder="0" applyAlignment="0" applyProtection="0"/>
    <xf numFmtId="0" fontId="39" fillId="51" borderId="0" applyNumberFormat="0" applyBorder="0" applyAlignment="0" applyProtection="0"/>
    <xf numFmtId="0" fontId="40" fillId="36" borderId="0" applyNumberFormat="0" applyBorder="0" applyAlignment="0" applyProtection="0"/>
    <xf numFmtId="0" fontId="47" fillId="0" borderId="28" applyNumberFormat="0" applyFill="0" applyAlignment="0" applyProtection="0"/>
    <xf numFmtId="0" fontId="38" fillId="38" borderId="0" applyNumberFormat="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8" fillId="0" borderId="0" applyFont="0" applyFill="0" applyBorder="0" applyAlignment="0" applyProtection="0"/>
    <xf numFmtId="0" fontId="8" fillId="0" borderId="0"/>
    <xf numFmtId="0" fontId="6" fillId="0" borderId="0"/>
    <xf numFmtId="0" fontId="36"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36" fillId="40"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36" fillId="38" borderId="0" applyNumberFormat="0" applyBorder="0" applyAlignment="0" applyProtection="0"/>
    <xf numFmtId="0" fontId="36" fillId="42" borderId="0" applyNumberFormat="0" applyBorder="0" applyAlignment="0" applyProtection="0"/>
    <xf numFmtId="0" fontId="36" fillId="45" borderId="0" applyNumberFormat="0" applyBorder="0" applyAlignment="0" applyProtection="0"/>
    <xf numFmtId="0" fontId="63" fillId="46" borderId="0" applyNumberFormat="0" applyBorder="0" applyAlignment="0" applyProtection="0"/>
    <xf numFmtId="0" fontId="63" fillId="43" borderId="0" applyNumberFormat="0" applyBorder="0" applyAlignment="0" applyProtection="0"/>
    <xf numFmtId="0" fontId="63" fillId="44" borderId="0" applyNumberFormat="0" applyBorder="0" applyAlignment="0" applyProtection="0"/>
    <xf numFmtId="0" fontId="63" fillId="47" borderId="0" applyNumberFormat="0" applyBorder="0" applyAlignment="0" applyProtection="0"/>
    <xf numFmtId="0" fontId="63" fillId="48" borderId="0" applyNumberFormat="0" applyBorder="0" applyAlignment="0" applyProtection="0"/>
    <xf numFmtId="0" fontId="63" fillId="49" borderId="0" applyNumberFormat="0" applyBorder="0" applyAlignment="0" applyProtection="0"/>
    <xf numFmtId="0" fontId="63" fillId="50" borderId="0" applyNumberFormat="0" applyBorder="0" applyAlignment="0" applyProtection="0"/>
    <xf numFmtId="0" fontId="63" fillId="51" borderId="0" applyNumberFormat="0" applyBorder="0" applyAlignment="0" applyProtection="0"/>
    <xf numFmtId="0" fontId="63" fillId="52" borderId="0" applyNumberFormat="0" applyBorder="0" applyAlignment="0" applyProtection="0"/>
    <xf numFmtId="0" fontId="63" fillId="47" borderId="0" applyNumberFormat="0" applyBorder="0" applyAlignment="0" applyProtection="0"/>
    <xf numFmtId="0" fontId="63" fillId="48" borderId="0" applyNumberFormat="0" applyBorder="0" applyAlignment="0" applyProtection="0"/>
    <xf numFmtId="0" fontId="63" fillId="53" borderId="0" applyNumberFormat="0" applyBorder="0" applyAlignment="0" applyProtection="0"/>
    <xf numFmtId="0" fontId="7" fillId="0" borderId="0"/>
    <xf numFmtId="0" fontId="64" fillId="36" borderId="0" applyNumberFormat="0" applyBorder="0" applyAlignment="0" applyProtection="0"/>
    <xf numFmtId="168" fontId="58" fillId="0" borderId="11" applyNumberFormat="0" applyFill="0" applyAlignment="0" applyProtection="0">
      <alignment horizontal="center"/>
    </xf>
    <xf numFmtId="169" fontId="58" fillId="0" borderId="2" applyFill="0" applyAlignment="0" applyProtection="0">
      <alignment horizontal="center"/>
    </xf>
    <xf numFmtId="0" fontId="65" fillId="41" borderId="24" applyNumberFormat="0" applyAlignment="0" applyProtection="0"/>
    <xf numFmtId="0" fontId="66" fillId="54" borderId="25" applyNumberFormat="0" applyAlignment="0" applyProtection="0"/>
    <xf numFmtId="43" fontId="6" fillId="0" borderId="0" applyFont="0" applyFill="0" applyBorder="0" applyAlignment="0" applyProtection="0"/>
    <xf numFmtId="43" fontId="7" fillId="0" borderId="0"/>
    <xf numFmtId="43" fontId="6" fillId="0" borderId="0" applyFont="0" applyFill="0" applyBorder="0" applyAlignment="0" applyProtection="0"/>
    <xf numFmtId="43" fontId="37" fillId="0" borderId="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170" fontId="67" fillId="0" borderId="0">
      <alignment horizontal="center" wrapText="1"/>
    </xf>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71" fontId="68" fillId="0" borderId="0" applyFont="0" applyFill="0" applyBorder="0" applyProtection="0">
      <alignment horizontal="center"/>
    </xf>
    <xf numFmtId="172" fontId="6" fillId="0" borderId="0"/>
    <xf numFmtId="0" fontId="6" fillId="0" borderId="0"/>
    <xf numFmtId="9" fontId="6" fillId="0" borderId="0"/>
    <xf numFmtId="0" fontId="69" fillId="0" borderId="0" applyNumberForma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0" fontId="70" fillId="37" borderId="0" applyNumberFormat="0" applyBorder="0" applyAlignment="0" applyProtection="0"/>
    <xf numFmtId="0" fontId="71" fillId="0" borderId="0"/>
    <xf numFmtId="0" fontId="71" fillId="0" borderId="0">
      <alignment horizontal="left"/>
    </xf>
    <xf numFmtId="0" fontId="71" fillId="0" borderId="0">
      <alignment horizontal="left"/>
    </xf>
    <xf numFmtId="0" fontId="71" fillId="0" borderId="0">
      <alignment horizontal="left"/>
    </xf>
    <xf numFmtId="0" fontId="71" fillId="0" borderId="0">
      <alignment horizontal="left"/>
    </xf>
    <xf numFmtId="0" fontId="71" fillId="0" borderId="0">
      <alignment horizontal="left"/>
    </xf>
    <xf numFmtId="0" fontId="67" fillId="0" borderId="11" applyNumberFormat="0" applyFill="0" applyProtection="0">
      <alignment horizontal="center" wrapText="1"/>
    </xf>
    <xf numFmtId="0" fontId="72" fillId="0" borderId="26" applyNumberFormat="0" applyFill="0" applyAlignment="0" applyProtection="0"/>
    <xf numFmtId="0" fontId="73" fillId="0" borderId="27" applyNumberFormat="0" applyFill="0" applyAlignment="0" applyProtection="0"/>
    <xf numFmtId="0" fontId="74" fillId="0" borderId="28" applyNumberFormat="0" applyFill="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40" borderId="24" applyNumberFormat="0" applyAlignment="0" applyProtection="0"/>
    <xf numFmtId="0" fontId="71" fillId="0" borderId="0"/>
    <xf numFmtId="0" fontId="77" fillId="0" borderId="29" applyNumberFormat="0" applyFill="0" applyAlignment="0" applyProtection="0"/>
    <xf numFmtId="0" fontId="78" fillId="55" borderId="0" applyNumberFormat="0" applyBorder="0" applyAlignment="0" applyProtection="0"/>
    <xf numFmtId="0" fontId="58" fillId="0" borderId="0" applyNumberFormat="0" applyFill="0" applyAlignment="0" applyProtection="0"/>
    <xf numFmtId="37" fontId="7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0" fillId="0" borderId="0"/>
    <xf numFmtId="0" fontId="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167" fontId="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0" fontId="10" fillId="0" borderId="0"/>
    <xf numFmtId="0" fontId="1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0" fontId="1" fillId="0" borderId="0"/>
    <xf numFmtId="0" fontId="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6" fillId="0" borderId="0"/>
    <xf numFmtId="0" fontId="36" fillId="0" borderId="0"/>
    <xf numFmtId="0" fontId="36" fillId="0" borderId="0"/>
    <xf numFmtId="37" fontId="80" fillId="0" borderId="0"/>
    <xf numFmtId="0" fontId="1" fillId="0" borderId="0"/>
    <xf numFmtId="0" fontId="1" fillId="0" borderId="0"/>
    <xf numFmtId="0" fontId="1" fillId="0" borderId="0"/>
    <xf numFmtId="0" fontId="1" fillId="0" borderId="0"/>
    <xf numFmtId="0" fontId="38" fillId="0" borderId="0"/>
    <xf numFmtId="0" fontId="36" fillId="56" borderId="30" applyNumberFormat="0" applyFont="0" applyAlignment="0" applyProtection="0"/>
    <xf numFmtId="173" fontId="58" fillId="0" borderId="0" applyFill="0" applyBorder="0" applyAlignment="0" applyProtection="0"/>
    <xf numFmtId="174" fontId="7" fillId="0" borderId="0"/>
    <xf numFmtId="175" fontId="7" fillId="0" borderId="0"/>
    <xf numFmtId="176" fontId="7" fillId="0" borderId="0"/>
    <xf numFmtId="177" fontId="7" fillId="0" borderId="0"/>
    <xf numFmtId="178" fontId="7" fillId="0" borderId="0"/>
    <xf numFmtId="179" fontId="7" fillId="0" borderId="0"/>
    <xf numFmtId="180" fontId="7" fillId="0" borderId="0"/>
    <xf numFmtId="181" fontId="7" fillId="0" borderId="0"/>
    <xf numFmtId="182" fontId="7" fillId="0" borderId="0"/>
    <xf numFmtId="183" fontId="7" fillId="0" borderId="0"/>
    <xf numFmtId="184" fontId="7" fillId="0" borderId="0"/>
    <xf numFmtId="0" fontId="81" fillId="41" borderId="31" applyNumberFormat="0" applyAlignment="0" applyProtection="0"/>
    <xf numFmtId="10" fontId="68"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8" fillId="0" borderId="2" applyNumberFormat="0" applyFill="0" applyAlignment="0" applyProtection="0"/>
    <xf numFmtId="49" fontId="7" fillId="0" borderId="0"/>
    <xf numFmtId="0" fontId="52" fillId="0" borderId="0" applyNumberFormat="0" applyFill="0" applyBorder="0" applyAlignment="0" applyProtection="0"/>
    <xf numFmtId="0" fontId="82" fillId="0" borderId="32" applyNumberFormat="0" applyFill="0" applyAlignment="0" applyProtection="0"/>
    <xf numFmtId="185" fontId="83" fillId="0" borderId="0"/>
    <xf numFmtId="186" fontId="83" fillId="0" borderId="0"/>
    <xf numFmtId="0" fontId="84" fillId="0" borderId="0" applyNumberFormat="0" applyFill="0" applyBorder="0" applyAlignment="0" applyProtection="0"/>
  </cellStyleXfs>
  <cellXfs count="230">
    <xf numFmtId="0" fontId="0" fillId="0" borderId="0" xfId="0"/>
    <xf numFmtId="0" fontId="4" fillId="0" borderId="0" xfId="0" applyFont="1" applyFill="1"/>
    <xf numFmtId="0" fontId="4" fillId="0" borderId="0" xfId="0" applyFont="1" applyFill="1" applyAlignment="1">
      <alignment horizontal="left"/>
    </xf>
    <xf numFmtId="0" fontId="3" fillId="0" borderId="0" xfId="0" applyFont="1" applyFill="1" applyAlignment="1">
      <alignment vertical="top"/>
    </xf>
    <xf numFmtId="0" fontId="3" fillId="0" borderId="0" xfId="0" applyFont="1" applyFill="1"/>
    <xf numFmtId="0" fontId="3" fillId="0" borderId="0" xfId="0" applyFont="1" applyFill="1" applyAlignment="1">
      <alignment horizontal="left"/>
    </xf>
    <xf numFmtId="0" fontId="0" fillId="0" borderId="0" xfId="0" applyFill="1"/>
    <xf numFmtId="0" fontId="4" fillId="0" borderId="0" xfId="0" applyFont="1" applyFill="1" applyAlignment="1">
      <alignment vertical="top"/>
    </xf>
    <xf numFmtId="0" fontId="3" fillId="0" borderId="0" xfId="0" applyFont="1" applyFill="1" applyAlignment="1">
      <alignment horizontal="right" vertical="top"/>
    </xf>
    <xf numFmtId="0" fontId="0" fillId="0" borderId="0" xfId="0" applyFont="1" applyFill="1"/>
    <xf numFmtId="0" fontId="5" fillId="0" borderId="0" xfId="0" applyFont="1" applyFill="1"/>
    <xf numFmtId="0" fontId="4" fillId="0" borderId="0" xfId="0" applyFont="1" applyFill="1" applyAlignment="1">
      <alignment wrapText="1"/>
    </xf>
    <xf numFmtId="0" fontId="4" fillId="0" borderId="0" xfId="0" applyFont="1" applyFill="1" applyBorder="1" applyAlignment="1">
      <alignment horizontal="center" wrapText="1"/>
    </xf>
    <xf numFmtId="0" fontId="4" fillId="0" borderId="0" xfId="0" applyFont="1" applyFill="1" applyBorder="1"/>
    <xf numFmtId="0" fontId="4" fillId="0" borderId="2" xfId="0" applyFont="1" applyFill="1" applyBorder="1"/>
    <xf numFmtId="0" fontId="4" fillId="0" borderId="3" xfId="0" applyFont="1" applyFill="1" applyBorder="1"/>
    <xf numFmtId="0" fontId="6" fillId="0" borderId="0" xfId="0" applyFont="1" applyFill="1"/>
    <xf numFmtId="0" fontId="6" fillId="0" borderId="0" xfId="0" applyFont="1" applyFill="1" applyBorder="1"/>
    <xf numFmtId="0" fontId="6" fillId="0" borderId="0" xfId="0" applyFont="1" applyFill="1" applyAlignment="1">
      <alignment horizontal="left"/>
    </xf>
    <xf numFmtId="0" fontId="4" fillId="0" borderId="2" xfId="0" applyFont="1" applyFill="1" applyBorder="1" applyAlignment="1">
      <alignment horizontal="center" wrapText="1"/>
    </xf>
    <xf numFmtId="164" fontId="4" fillId="0" borderId="4" xfId="0" applyNumberFormat="1" applyFont="1" applyFill="1" applyBorder="1"/>
    <xf numFmtId="164" fontId="4" fillId="0" borderId="0" xfId="0" applyNumberFormat="1" applyFont="1" applyFill="1" applyBorder="1"/>
    <xf numFmtId="0" fontId="4" fillId="0" borderId="0" xfId="0" quotePrefix="1" applyFont="1" applyFill="1"/>
    <xf numFmtId="165" fontId="4" fillId="0" borderId="0" xfId="1" applyNumberFormat="1" applyFont="1" applyFill="1"/>
    <xf numFmtId="165" fontId="4" fillId="0" borderId="0" xfId="1" applyNumberFormat="1" applyFont="1" applyFill="1" applyBorder="1"/>
    <xf numFmtId="165" fontId="4" fillId="0" borderId="4" xfId="1" applyNumberFormat="1" applyFont="1" applyFill="1" applyBorder="1"/>
    <xf numFmtId="164" fontId="4" fillId="0" borderId="3" xfId="0" applyNumberFormat="1" applyFont="1" applyFill="1" applyBorder="1"/>
    <xf numFmtId="0" fontId="4" fillId="0" borderId="0" xfId="0" applyFont="1" applyFill="1" applyAlignment="1">
      <alignment horizontal="right"/>
    </xf>
    <xf numFmtId="0" fontId="4" fillId="0" borderId="0" xfId="0" quotePrefix="1" applyFont="1" applyFill="1" applyAlignment="1"/>
    <xf numFmtId="164" fontId="4" fillId="0" borderId="0" xfId="1" applyNumberFormat="1" applyFont="1" applyFill="1" applyAlignment="1">
      <alignment wrapText="1"/>
    </xf>
    <xf numFmtId="165" fontId="4" fillId="0" borderId="0" xfId="1" applyNumberFormat="1" applyFont="1" applyFill="1" applyAlignment="1">
      <alignment wrapText="1"/>
    </xf>
    <xf numFmtId="165" fontId="4" fillId="0" borderId="2" xfId="1" applyNumberFormat="1" applyFont="1" applyFill="1" applyBorder="1" applyAlignment="1">
      <alignment wrapText="1"/>
    </xf>
    <xf numFmtId="164" fontId="4" fillId="0" borderId="3" xfId="0" applyNumberFormat="1" applyFont="1" applyFill="1" applyBorder="1" applyAlignment="1">
      <alignment wrapText="1"/>
    </xf>
    <xf numFmtId="164" fontId="4" fillId="0" borderId="0" xfId="0" applyNumberFormat="1" applyFont="1" applyFill="1" applyAlignment="1">
      <alignment wrapText="1"/>
    </xf>
    <xf numFmtId="0" fontId="4" fillId="0" borderId="0" xfId="0" applyFont="1" applyFill="1" applyAlignment="1"/>
    <xf numFmtId="0" fontId="3" fillId="0" borderId="2"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left"/>
    </xf>
    <xf numFmtId="164" fontId="4" fillId="0" borderId="0" xfId="0" applyNumberFormat="1" applyFont="1" applyFill="1"/>
    <xf numFmtId="10" fontId="4" fillId="0" borderId="0" xfId="2" applyNumberFormat="1" applyFont="1" applyFill="1"/>
    <xf numFmtId="0" fontId="0" fillId="0" borderId="0" xfId="0" applyFill="1" applyAlignment="1">
      <alignment wrapText="1"/>
    </xf>
    <xf numFmtId="0" fontId="2" fillId="0" borderId="0" xfId="0" applyFont="1"/>
    <xf numFmtId="0" fontId="0" fillId="15" borderId="0" xfId="0" applyFill="1"/>
    <xf numFmtId="0" fontId="0" fillId="0" borderId="0" xfId="0" applyAlignment="1">
      <alignment horizontal="center"/>
    </xf>
    <xf numFmtId="0" fontId="0" fillId="0" borderId="5" xfId="0" applyBorder="1"/>
    <xf numFmtId="0" fontId="0" fillId="0" borderId="6" xfId="0" applyBorder="1"/>
    <xf numFmtId="0" fontId="0" fillId="0" borderId="8" xfId="0" applyBorder="1"/>
    <xf numFmtId="0" fontId="0" fillId="0" borderId="0" xfId="0" applyBorder="1"/>
    <xf numFmtId="0" fontId="2" fillId="0" borderId="8" xfId="0" applyFont="1" applyBorder="1"/>
    <xf numFmtId="0" fontId="0" fillId="0" borderId="10" xfId="0" applyBorder="1"/>
    <xf numFmtId="0" fontId="0" fillId="0" borderId="11" xfId="0" applyBorder="1"/>
    <xf numFmtId="0" fontId="3" fillId="0" borderId="0" xfId="0" applyFont="1" applyFill="1" applyBorder="1" applyAlignment="1">
      <alignment horizontal="center"/>
    </xf>
    <xf numFmtId="0" fontId="4" fillId="0" borderId="0" xfId="0" applyFont="1" applyFill="1" applyBorder="1"/>
    <xf numFmtId="10" fontId="4" fillId="0" borderId="0" xfId="2" applyNumberFormat="1" applyFont="1" applyFill="1" applyBorder="1"/>
    <xf numFmtId="0" fontId="4" fillId="0" borderId="0" xfId="0" applyFont="1" applyFill="1" applyAlignment="1">
      <alignment wrapText="1"/>
    </xf>
    <xf numFmtId="0" fontId="14" fillId="0" borderId="21" xfId="888" applyFont="1" applyFill="1" applyBorder="1" applyAlignment="1">
      <alignment horizontal="left" vertical="top" wrapText="1"/>
    </xf>
    <xf numFmtId="0" fontId="34" fillId="0" borderId="21" xfId="888" applyFont="1" applyFill="1" applyBorder="1" applyAlignment="1">
      <alignment horizontal="left" vertical="top" wrapText="1"/>
    </xf>
    <xf numFmtId="0" fontId="0" fillId="0" borderId="0" xfId="0" applyAlignment="1"/>
    <xf numFmtId="43" fontId="0" fillId="0" borderId="0" xfId="1" applyFont="1" applyFill="1"/>
    <xf numFmtId="43" fontId="2" fillId="0" borderId="0" xfId="1" applyFont="1" applyFill="1" applyAlignment="1">
      <alignment horizontal="center"/>
    </xf>
    <xf numFmtId="0" fontId="0" fillId="0" borderId="0" xfId="0" applyFill="1" applyAlignment="1">
      <alignment horizontal="center"/>
    </xf>
    <xf numFmtId="0" fontId="0" fillId="15" borderId="0" xfId="0" applyFill="1"/>
    <xf numFmtId="165" fontId="0" fillId="0" borderId="0" xfId="1" applyNumberFormat="1" applyFont="1" applyFill="1"/>
    <xf numFmtId="0" fontId="4" fillId="58" borderId="5" xfId="0" applyFont="1" applyFill="1" applyBorder="1" applyAlignment="1">
      <alignment vertical="top"/>
    </xf>
    <xf numFmtId="0" fontId="4" fillId="58" borderId="6" xfId="0" applyFont="1" applyFill="1" applyBorder="1"/>
    <xf numFmtId="0" fontId="4" fillId="58" borderId="7" xfId="0" applyFont="1" applyFill="1" applyBorder="1"/>
    <xf numFmtId="0" fontId="4" fillId="58" borderId="8" xfId="0" applyFont="1" applyFill="1" applyBorder="1" applyAlignment="1">
      <alignment vertical="top"/>
    </xf>
    <xf numFmtId="0" fontId="4" fillId="58" borderId="0" xfId="0" applyFont="1" applyFill="1" applyBorder="1"/>
    <xf numFmtId="0" fontId="4" fillId="58" borderId="9" xfId="0" applyFont="1" applyFill="1" applyBorder="1"/>
    <xf numFmtId="0" fontId="4" fillId="58" borderId="11" xfId="0" applyFont="1" applyFill="1" applyBorder="1"/>
    <xf numFmtId="43" fontId="4" fillId="58" borderId="0" xfId="1" applyFont="1" applyFill="1" applyBorder="1"/>
    <xf numFmtId="0" fontId="4" fillId="0" borderId="0" xfId="0" applyFont="1" applyFill="1" applyBorder="1" applyAlignment="1">
      <alignment vertical="top"/>
    </xf>
    <xf numFmtId="165" fontId="4" fillId="0" borderId="2" xfId="1" applyNumberFormat="1" applyFont="1" applyFill="1" applyBorder="1"/>
    <xf numFmtId="0" fontId="4" fillId="58" borderId="12" xfId="0" applyFont="1" applyFill="1" applyBorder="1"/>
    <xf numFmtId="0" fontId="4" fillId="58" borderId="10" xfId="0" applyFont="1" applyFill="1" applyBorder="1" applyAlignment="1">
      <alignment vertical="top"/>
    </xf>
    <xf numFmtId="0" fontId="4" fillId="0" borderId="0" xfId="0" applyFont="1" applyFill="1"/>
    <xf numFmtId="0" fontId="4" fillId="0" borderId="0" xfId="0" applyFont="1" applyFill="1" applyAlignment="1">
      <alignment horizontal="left"/>
    </xf>
    <xf numFmtId="0" fontId="0" fillId="0" borderId="0" xfId="0" applyFill="1" applyAlignment="1">
      <alignment wrapText="1"/>
    </xf>
    <xf numFmtId="0" fontId="0" fillId="0" borderId="0" xfId="0" applyFill="1"/>
    <xf numFmtId="0" fontId="4" fillId="0" borderId="0" xfId="0" applyFont="1" applyFill="1" applyBorder="1"/>
    <xf numFmtId="0" fontId="4" fillId="0" borderId="0" xfId="0" applyFont="1" applyFill="1" applyAlignment="1">
      <alignment vertical="top"/>
    </xf>
    <xf numFmtId="0" fontId="0" fillId="15" borderId="0" xfId="0" applyFill="1"/>
    <xf numFmtId="0" fontId="4" fillId="0" borderId="0" xfId="0" applyFont="1" applyFill="1" applyBorder="1"/>
    <xf numFmtId="187" fontId="61" fillId="0" borderId="39" xfId="1" applyNumberFormat="1" applyFont="1" applyBorder="1"/>
    <xf numFmtId="187" fontId="58" fillId="0" borderId="39" xfId="1573" applyNumberFormat="1" applyFont="1" applyFill="1" applyBorder="1"/>
    <xf numFmtId="187" fontId="0" fillId="0" borderId="0" xfId="0" applyNumberFormat="1"/>
    <xf numFmtId="0" fontId="0" fillId="0" borderId="0" xfId="0"/>
    <xf numFmtId="0" fontId="59" fillId="59" borderId="34" xfId="1573" applyFont="1" applyFill="1" applyBorder="1" applyAlignment="1">
      <alignment horizontal="center"/>
    </xf>
    <xf numFmtId="0" fontId="60" fillId="59" borderId="38" xfId="1573" applyFont="1" applyFill="1" applyBorder="1" applyAlignment="1">
      <alignment horizontal="center" vertical="center" wrapText="1"/>
    </xf>
    <xf numFmtId="0" fontId="60" fillId="59" borderId="39" xfId="1573" applyFont="1" applyFill="1" applyBorder="1" applyAlignment="1">
      <alignment horizontal="center" vertical="center" wrapText="1"/>
    </xf>
    <xf numFmtId="0" fontId="58" fillId="0" borderId="39" xfId="1573" applyFont="1" applyBorder="1"/>
    <xf numFmtId="3" fontId="58" fillId="0" borderId="39" xfId="1573" applyNumberFormat="1" applyFont="1" applyBorder="1"/>
    <xf numFmtId="165" fontId="62" fillId="0" borderId="39" xfId="1" applyNumberFormat="1" applyFont="1" applyBorder="1"/>
    <xf numFmtId="165" fontId="61" fillId="0" borderId="39" xfId="1" applyNumberFormat="1" applyFont="1" applyBorder="1"/>
    <xf numFmtId="0" fontId="60" fillId="58" borderId="38" xfId="1573" applyFont="1" applyFill="1" applyBorder="1" applyAlignment="1">
      <alignment horizontal="center" vertical="center" wrapText="1"/>
    </xf>
    <xf numFmtId="0" fontId="60" fillId="58" borderId="39" xfId="1573" applyFont="1" applyFill="1" applyBorder="1" applyAlignment="1">
      <alignment horizontal="center" vertical="center" wrapText="1"/>
    </xf>
    <xf numFmtId="0" fontId="60" fillId="58" borderId="0" xfId="1573" applyFont="1" applyFill="1" applyBorder="1" applyAlignment="1">
      <alignment horizontal="center" vertical="center" wrapText="1"/>
    </xf>
    <xf numFmtId="3" fontId="0" fillId="0" borderId="0" xfId="0" applyNumberFormat="1"/>
    <xf numFmtId="43" fontId="0" fillId="0" borderId="6" xfId="1" applyFont="1" applyFill="1" applyBorder="1"/>
    <xf numFmtId="0" fontId="0" fillId="0" borderId="6" xfId="0" applyFill="1" applyBorder="1"/>
    <xf numFmtId="43" fontId="0" fillId="0" borderId="7" xfId="1" applyFont="1" applyFill="1" applyBorder="1"/>
    <xf numFmtId="43" fontId="0" fillId="0" borderId="0" xfId="1" applyFont="1" applyFill="1" applyBorder="1"/>
    <xf numFmtId="0" fontId="0" fillId="0" borderId="0" xfId="0" applyFill="1" applyBorder="1"/>
    <xf numFmtId="43" fontId="0" fillId="0" borderId="9" xfId="1" applyFont="1" applyFill="1" applyBorder="1"/>
    <xf numFmtId="43" fontId="0" fillId="0" borderId="11" xfId="1" applyFont="1" applyFill="1" applyBorder="1"/>
    <xf numFmtId="0" fontId="0" fillId="0" borderId="11" xfId="0" applyFill="1" applyBorder="1"/>
    <xf numFmtId="43" fontId="0" fillId="0" borderId="12" xfId="1" applyFont="1" applyFill="1" applyBorder="1"/>
    <xf numFmtId="43" fontId="0" fillId="0" borderId="0" xfId="0" applyNumberFormat="1"/>
    <xf numFmtId="43" fontId="4" fillId="0" borderId="0" xfId="1" applyFont="1" applyFill="1"/>
    <xf numFmtId="0" fontId="0" fillId="0" borderId="0" xfId="0" applyAlignment="1">
      <alignment wrapText="1"/>
    </xf>
    <xf numFmtId="0" fontId="0" fillId="0" borderId="0" xfId="0" applyFont="1" applyFill="1" applyAlignment="1">
      <alignment wrapText="1"/>
    </xf>
    <xf numFmtId="0" fontId="2" fillId="0" borderId="0" xfId="0" applyFont="1" applyFill="1" applyAlignment="1">
      <alignment horizontal="center" wrapText="1"/>
    </xf>
    <xf numFmtId="0" fontId="0" fillId="60" borderId="0" xfId="0" applyFill="1" applyAlignment="1">
      <alignment wrapText="1"/>
    </xf>
    <xf numFmtId="0" fontId="0" fillId="0" borderId="0" xfId="0" applyFill="1" applyAlignment="1">
      <alignment wrapText="1"/>
    </xf>
    <xf numFmtId="0" fontId="85" fillId="0" borderId="0" xfId="0" applyFont="1" applyFill="1"/>
    <xf numFmtId="0" fontId="6" fillId="0" borderId="0" xfId="0" applyFont="1" applyFill="1" applyAlignment="1">
      <alignment vertical="top"/>
    </xf>
    <xf numFmtId="0" fontId="6" fillId="0" borderId="0" xfId="0" applyFont="1" applyFill="1" applyAlignment="1">
      <alignment wrapText="1"/>
    </xf>
    <xf numFmtId="0" fontId="6" fillId="0" borderId="0" xfId="0" applyFont="1" applyFill="1" applyBorder="1" applyAlignment="1">
      <alignment horizontal="center" wrapText="1"/>
    </xf>
    <xf numFmtId="0" fontId="6" fillId="0" borderId="2" xfId="0" applyFont="1" applyFill="1" applyBorder="1"/>
    <xf numFmtId="0" fontId="6" fillId="0" borderId="3" xfId="0" applyFont="1" applyFill="1" applyBorder="1"/>
    <xf numFmtId="0" fontId="62" fillId="0" borderId="0" xfId="0" applyFont="1" applyFill="1"/>
    <xf numFmtId="0" fontId="6" fillId="0" borderId="2" xfId="0" applyFont="1" applyFill="1" applyBorder="1" applyAlignment="1">
      <alignment horizontal="center" wrapText="1"/>
    </xf>
    <xf numFmtId="164" fontId="6" fillId="0" borderId="4" xfId="0" applyNumberFormat="1" applyFont="1" applyFill="1" applyBorder="1"/>
    <xf numFmtId="164" fontId="6" fillId="0" borderId="0" xfId="0" applyNumberFormat="1" applyFont="1" applyFill="1" applyBorder="1"/>
    <xf numFmtId="0" fontId="6" fillId="0" borderId="0" xfId="0" quotePrefix="1" applyFont="1" applyFill="1"/>
    <xf numFmtId="165" fontId="6" fillId="0" borderId="0" xfId="1" applyNumberFormat="1" applyFont="1" applyFill="1"/>
    <xf numFmtId="165" fontId="6" fillId="0" borderId="0" xfId="1" applyNumberFormat="1" applyFont="1" applyFill="1" applyBorder="1"/>
    <xf numFmtId="165" fontId="6" fillId="0" borderId="4" xfId="1" applyNumberFormat="1" applyFont="1" applyFill="1" applyBorder="1"/>
    <xf numFmtId="164" fontId="6" fillId="0" borderId="3" xfId="0" applyNumberFormat="1" applyFont="1" applyFill="1" applyBorder="1"/>
    <xf numFmtId="0" fontId="6" fillId="0" borderId="0" xfId="0" applyFont="1" applyFill="1" applyAlignment="1">
      <alignment horizontal="right"/>
    </xf>
    <xf numFmtId="0" fontId="6" fillId="0" borderId="0" xfId="0" quotePrefix="1" applyFont="1" applyFill="1" applyAlignment="1"/>
    <xf numFmtId="164" fontId="6" fillId="0" borderId="0" xfId="1" applyNumberFormat="1" applyFont="1" applyFill="1" applyAlignment="1">
      <alignment wrapText="1"/>
    </xf>
    <xf numFmtId="165" fontId="6" fillId="0" borderId="0" xfId="1" applyNumberFormat="1" applyFont="1" applyFill="1" applyAlignment="1">
      <alignment wrapText="1"/>
    </xf>
    <xf numFmtId="165" fontId="6" fillId="0" borderId="2" xfId="1" applyNumberFormat="1" applyFont="1" applyFill="1" applyBorder="1" applyAlignment="1">
      <alignment wrapText="1"/>
    </xf>
    <xf numFmtId="164" fontId="6" fillId="0" borderId="3" xfId="0" applyNumberFormat="1" applyFont="1" applyFill="1" applyBorder="1" applyAlignment="1">
      <alignment wrapText="1"/>
    </xf>
    <xf numFmtId="164" fontId="6" fillId="0" borderId="0" xfId="0" applyNumberFormat="1" applyFont="1" applyFill="1" applyAlignment="1">
      <alignment wrapText="1"/>
    </xf>
    <xf numFmtId="0" fontId="6" fillId="0" borderId="0" xfId="0" applyFont="1" applyFill="1" applyAlignment="1"/>
    <xf numFmtId="0" fontId="86" fillId="0" borderId="0" xfId="0" applyFont="1" applyFill="1"/>
    <xf numFmtId="0" fontId="86" fillId="0" borderId="2" xfId="0" applyFont="1" applyFill="1" applyBorder="1" applyAlignment="1">
      <alignment horizontal="center"/>
    </xf>
    <xf numFmtId="0" fontId="86" fillId="0" borderId="0" xfId="0" applyFont="1" applyFill="1" applyBorder="1" applyAlignment="1">
      <alignment horizontal="center"/>
    </xf>
    <xf numFmtId="0" fontId="86" fillId="0" borderId="0" xfId="0" applyFont="1" applyFill="1" applyBorder="1" applyAlignment="1">
      <alignment horizontal="left"/>
    </xf>
    <xf numFmtId="164" fontId="6" fillId="0" borderId="0" xfId="0" applyNumberFormat="1" applyFont="1" applyFill="1"/>
    <xf numFmtId="10" fontId="6" fillId="0" borderId="0" xfId="2" applyNumberFormat="1" applyFont="1" applyFill="1"/>
    <xf numFmtId="10" fontId="6" fillId="0" borderId="0" xfId="2" applyNumberFormat="1" applyFont="1" applyFill="1" applyBorder="1"/>
    <xf numFmtId="0" fontId="85" fillId="0" borderId="0" xfId="0" applyFont="1" applyFill="1" applyAlignment="1">
      <alignment wrapText="1"/>
    </xf>
    <xf numFmtId="0" fontId="2" fillId="0" borderId="0" xfId="0" applyFont="1" applyAlignment="1">
      <alignment wrapText="1"/>
    </xf>
    <xf numFmtId="0" fontId="2" fillId="0" borderId="0" xfId="0" applyFont="1" applyFill="1" applyAlignment="1">
      <alignment wrapText="1"/>
    </xf>
    <xf numFmtId="0" fontId="2" fillId="0" borderId="0" xfId="0" applyFont="1" applyAlignment="1">
      <alignment horizontal="center"/>
    </xf>
    <xf numFmtId="0" fontId="2" fillId="0" borderId="0" xfId="0" applyFont="1" applyAlignment="1">
      <alignment horizontal="left" wrapText="1"/>
    </xf>
    <xf numFmtId="0" fontId="0" fillId="0" borderId="0" xfId="0" applyFill="1" applyAlignment="1">
      <alignment wrapText="1"/>
    </xf>
    <xf numFmtId="0" fontId="4" fillId="0" borderId="0" xfId="0" applyFont="1" applyFill="1" applyAlignment="1">
      <alignment wrapText="1"/>
    </xf>
    <xf numFmtId="0" fontId="4" fillId="0" borderId="0" xfId="0" applyFont="1" applyFill="1" applyBorder="1" applyAlignment="1">
      <alignment wrapText="1"/>
    </xf>
    <xf numFmtId="0" fontId="3" fillId="0" borderId="0" xfId="0" applyFont="1" applyFill="1" applyAlignment="1">
      <alignment horizontal="center"/>
    </xf>
    <xf numFmtId="0" fontId="3" fillId="0" borderId="0" xfId="0" applyFont="1" applyFill="1" applyBorder="1" applyAlignment="1">
      <alignment horizontal="center"/>
    </xf>
    <xf numFmtId="0" fontId="3" fillId="0" borderId="0" xfId="0" applyFont="1" applyFill="1" applyAlignment="1">
      <alignment horizontal="center" wrapText="1"/>
    </xf>
    <xf numFmtId="0" fontId="3" fillId="0" borderId="0" xfId="0" applyFont="1" applyFill="1" applyBorder="1" applyAlignment="1">
      <alignment horizontal="center" wrapText="1"/>
    </xf>
    <xf numFmtId="0" fontId="3" fillId="0" borderId="0" xfId="0" applyFont="1" applyFill="1" applyAlignment="1">
      <alignment wrapText="1"/>
    </xf>
    <xf numFmtId="0" fontId="3" fillId="0" borderId="2" xfId="0" applyFont="1" applyFill="1" applyBorder="1" applyAlignment="1">
      <alignment horizontal="center" wrapText="1"/>
    </xf>
    <xf numFmtId="0" fontId="3" fillId="0" borderId="2" xfId="0" applyFont="1" applyFill="1" applyBorder="1" applyAlignment="1">
      <alignment horizontal="center"/>
    </xf>
    <xf numFmtId="0" fontId="4" fillId="0" borderId="0" xfId="0" applyFont="1" applyFill="1" applyAlignment="1">
      <alignment horizontal="left" wrapText="1"/>
    </xf>
    <xf numFmtId="0" fontId="4" fillId="0" borderId="0" xfId="0" applyFont="1" applyFill="1" applyAlignment="1">
      <alignment horizontal="left" vertical="top" wrapText="1"/>
    </xf>
    <xf numFmtId="0" fontId="6" fillId="0" borderId="0" xfId="0" applyFont="1" applyFill="1" applyAlignment="1">
      <alignment horizontal="left" vertical="top" wrapText="1"/>
    </xf>
    <xf numFmtId="10" fontId="4" fillId="0" borderId="0" xfId="0" applyNumberFormat="1" applyFont="1" applyFill="1" applyAlignment="1">
      <alignment horizontal="left"/>
    </xf>
    <xf numFmtId="0" fontId="4" fillId="0" borderId="0" xfId="0" applyFont="1" applyFill="1" applyAlignment="1">
      <alignment vertical="top" wrapText="1"/>
    </xf>
    <xf numFmtId="0" fontId="0" fillId="15" borderId="0" xfId="0" applyFill="1"/>
    <xf numFmtId="0" fontId="4" fillId="0" borderId="0" xfId="0" applyFont="1" applyFill="1" applyBorder="1"/>
    <xf numFmtId="0" fontId="4" fillId="0" borderId="0" xfId="0" applyFont="1" applyFill="1" applyBorder="1" applyAlignment="1">
      <alignment horizontal="left" wrapText="1"/>
    </xf>
    <xf numFmtId="0" fontId="3" fillId="0" borderId="0" xfId="0" applyFont="1" applyFill="1" applyAlignment="1">
      <alignment vertical="top" wrapText="1"/>
    </xf>
    <xf numFmtId="0" fontId="6" fillId="0" borderId="0" xfId="0" applyFont="1" applyFill="1" applyAlignment="1">
      <alignment wrapText="1"/>
    </xf>
    <xf numFmtId="0" fontId="6" fillId="0" borderId="0" xfId="0" applyFont="1" applyFill="1" applyBorder="1" applyAlignment="1">
      <alignment wrapText="1"/>
    </xf>
    <xf numFmtId="0" fontId="86" fillId="0" borderId="0" xfId="0" applyFont="1" applyFill="1" applyAlignment="1">
      <alignment horizontal="center" wrapText="1"/>
    </xf>
    <xf numFmtId="0" fontId="86" fillId="0" borderId="0" xfId="0" applyFont="1" applyFill="1" applyBorder="1" applyAlignment="1">
      <alignment horizontal="center" wrapText="1"/>
    </xf>
    <xf numFmtId="0" fontId="86" fillId="0" borderId="0" xfId="0" applyFont="1" applyFill="1" applyAlignment="1">
      <alignment horizontal="center"/>
    </xf>
    <xf numFmtId="0" fontId="86" fillId="0" borderId="0" xfId="0" applyFont="1" applyFill="1" applyBorder="1" applyAlignment="1">
      <alignment horizontal="center"/>
    </xf>
    <xf numFmtId="0" fontId="86" fillId="0" borderId="0" xfId="0" applyFont="1" applyFill="1" applyAlignment="1">
      <alignment wrapText="1"/>
    </xf>
    <xf numFmtId="0" fontId="86" fillId="0" borderId="2" xfId="0" applyFont="1" applyFill="1" applyBorder="1" applyAlignment="1">
      <alignment horizontal="center" wrapText="1"/>
    </xf>
    <xf numFmtId="0" fontId="86" fillId="0" borderId="2" xfId="0" applyFont="1" applyFill="1" applyBorder="1" applyAlignment="1">
      <alignment horizontal="center"/>
    </xf>
    <xf numFmtId="0" fontId="6" fillId="0" borderId="0" xfId="0" applyFont="1" applyFill="1" applyBorder="1" applyAlignment="1">
      <alignment horizontal="left" wrapText="1"/>
    </xf>
    <xf numFmtId="0" fontId="6" fillId="0" borderId="0" xfId="0" applyFont="1" applyFill="1" applyAlignment="1">
      <alignment vertical="top" wrapText="1"/>
    </xf>
    <xf numFmtId="10" fontId="6" fillId="0" borderId="0" xfId="0" applyNumberFormat="1" applyFont="1" applyFill="1" applyAlignment="1">
      <alignment horizontal="left"/>
    </xf>
    <xf numFmtId="0" fontId="6" fillId="0" borderId="0" xfId="0" applyFont="1" applyFill="1" applyAlignment="1">
      <alignment horizontal="left" wrapText="1"/>
    </xf>
    <xf numFmtId="0" fontId="6" fillId="0" borderId="0" xfId="0" applyFont="1" applyFill="1" applyBorder="1"/>
    <xf numFmtId="187" fontId="60" fillId="59" borderId="34" xfId="1573" applyNumberFormat="1" applyFont="1" applyFill="1" applyBorder="1" applyAlignment="1">
      <alignment horizontal="center" vertical="center" wrapText="1"/>
    </xf>
    <xf numFmtId="187" fontId="60" fillId="59" borderId="38" xfId="1573" applyNumberFormat="1" applyFont="1" applyFill="1" applyBorder="1" applyAlignment="1">
      <alignment horizontal="center" vertical="center" wrapText="1"/>
    </xf>
    <xf numFmtId="0" fontId="60" fillId="58" borderId="35" xfId="1573" applyFont="1" applyFill="1" applyBorder="1" applyAlignment="1">
      <alignment horizontal="center"/>
    </xf>
    <xf numFmtId="0" fontId="60" fillId="58" borderId="4" xfId="1573" applyFont="1" applyFill="1" applyBorder="1" applyAlignment="1">
      <alignment horizontal="center"/>
    </xf>
    <xf numFmtId="0" fontId="60" fillId="58" borderId="36" xfId="1573" applyFont="1" applyFill="1" applyBorder="1" applyAlignment="1">
      <alignment horizontal="center"/>
    </xf>
    <xf numFmtId="0" fontId="60" fillId="59" borderId="34" xfId="1573" applyFont="1" applyFill="1" applyBorder="1" applyAlignment="1">
      <alignment horizontal="center" vertical="center"/>
    </xf>
    <xf numFmtId="0" fontId="60" fillId="59" borderId="38" xfId="1573" applyFont="1" applyFill="1" applyBorder="1" applyAlignment="1">
      <alignment horizontal="center" vertical="center"/>
    </xf>
    <xf numFmtId="0" fontId="60" fillId="59" borderId="37" xfId="1573" applyFont="1" applyFill="1" applyBorder="1" applyAlignment="1">
      <alignment horizontal="center" vertical="center"/>
    </xf>
    <xf numFmtId="0" fontId="60" fillId="59" borderId="40" xfId="1573" applyFont="1" applyFill="1" applyBorder="1" applyAlignment="1">
      <alignment horizontal="center" vertical="center"/>
    </xf>
    <xf numFmtId="0" fontId="59" fillId="58" borderId="35" xfId="1573" applyFont="1" applyFill="1" applyBorder="1" applyAlignment="1">
      <alignment horizontal="center"/>
    </xf>
    <xf numFmtId="0" fontId="59" fillId="58" borderId="4" xfId="1573" applyFont="1" applyFill="1" applyBorder="1" applyAlignment="1">
      <alignment horizontal="center"/>
    </xf>
    <xf numFmtId="0" fontId="59" fillId="58" borderId="36" xfId="1573" applyFont="1" applyFill="1" applyBorder="1" applyAlignment="1">
      <alignment horizontal="center"/>
    </xf>
    <xf numFmtId="0" fontId="59" fillId="59" borderId="35" xfId="1573" applyFont="1" applyFill="1" applyBorder="1" applyAlignment="1">
      <alignment horizontal="center"/>
    </xf>
    <xf numFmtId="0" fontId="59" fillId="59" borderId="4" xfId="1573" applyFont="1" applyFill="1" applyBorder="1" applyAlignment="1">
      <alignment horizontal="center"/>
    </xf>
    <xf numFmtId="0" fontId="59" fillId="59" borderId="36" xfId="1573" applyFont="1" applyFill="1" applyBorder="1" applyAlignment="1">
      <alignment horizontal="center"/>
    </xf>
    <xf numFmtId="0" fontId="33" fillId="34" borderId="22" xfId="888" applyFont="1" applyFill="1" applyBorder="1" applyAlignment="1">
      <alignment horizontal="center" vertical="center" wrapText="1"/>
    </xf>
    <xf numFmtId="0" fontId="33" fillId="34" borderId="23" xfId="888" applyFont="1" applyFill="1" applyBorder="1" applyAlignment="1">
      <alignment horizontal="center" vertical="center" wrapText="1"/>
    </xf>
    <xf numFmtId="0" fontId="0" fillId="62" borderId="0" xfId="0" applyFill="1" applyAlignment="1">
      <alignment wrapText="1"/>
    </xf>
    <xf numFmtId="0" fontId="60" fillId="61" borderId="39" xfId="1573" applyFont="1" applyFill="1" applyBorder="1" applyAlignment="1">
      <alignment horizontal="center" vertical="center" wrapText="1"/>
    </xf>
    <xf numFmtId="165" fontId="61" fillId="0" borderId="39" xfId="1" applyNumberFormat="1" applyFont="1" applyFill="1" applyBorder="1"/>
    <xf numFmtId="3" fontId="58" fillId="0" borderId="39" xfId="1573" applyNumberFormat="1" applyFont="1" applyFill="1" applyBorder="1"/>
    <xf numFmtId="0" fontId="0" fillId="0" borderId="0" xfId="0" applyFill="1" applyAlignment="1"/>
    <xf numFmtId="164" fontId="6" fillId="0" borderId="0" xfId="1" applyNumberFormat="1" applyFont="1" applyFill="1"/>
    <xf numFmtId="165" fontId="6" fillId="0" borderId="2" xfId="1" applyNumberFormat="1" applyFont="1" applyFill="1" applyBorder="1"/>
    <xf numFmtId="164" fontId="4" fillId="0" borderId="0" xfId="1" applyNumberFormat="1" applyFont="1" applyFill="1"/>
    <xf numFmtId="0" fontId="0" fillId="0" borderId="0" xfId="0" applyAlignment="1">
      <alignment horizontal="left" wrapText="1"/>
    </xf>
    <xf numFmtId="165" fontId="0" fillId="0" borderId="0" xfId="0" applyNumberFormat="1" applyFill="1"/>
    <xf numFmtId="0" fontId="0" fillId="0" borderId="0" xfId="0" applyAlignment="1">
      <alignment horizontal="center"/>
    </xf>
    <xf numFmtId="0" fontId="60" fillId="59" borderId="42" xfId="1573" applyFont="1" applyFill="1" applyBorder="1" applyAlignment="1">
      <alignment horizontal="center" vertical="center"/>
    </xf>
    <xf numFmtId="0" fontId="60" fillId="59" borderId="41" xfId="1573" applyFont="1" applyFill="1" applyBorder="1" applyAlignment="1">
      <alignment horizontal="center" vertical="center"/>
    </xf>
    <xf numFmtId="0" fontId="60" fillId="59" borderId="36" xfId="1573" applyFont="1" applyFill="1" applyBorder="1" applyAlignment="1">
      <alignment horizontal="center"/>
    </xf>
    <xf numFmtId="0" fontId="60" fillId="59" borderId="4" xfId="1573" applyFont="1" applyFill="1" applyBorder="1" applyAlignment="1">
      <alignment horizontal="center"/>
    </xf>
    <xf numFmtId="0" fontId="60" fillId="59" borderId="35" xfId="1573" applyFont="1" applyFill="1" applyBorder="1" applyAlignment="1">
      <alignment horizontal="center"/>
    </xf>
    <xf numFmtId="0" fontId="60" fillId="59" borderId="38" xfId="1573" applyFont="1" applyFill="1" applyBorder="1" applyAlignment="1">
      <alignment horizontal="center" vertical="center" wrapText="1"/>
    </xf>
    <xf numFmtId="0" fontId="60" fillId="59" borderId="34" xfId="1573" applyFont="1" applyFill="1" applyBorder="1" applyAlignment="1">
      <alignment horizontal="center" vertical="center" wrapText="1"/>
    </xf>
    <xf numFmtId="0" fontId="0" fillId="0" borderId="0" xfId="0"/>
    <xf numFmtId="0" fontId="59" fillId="59" borderId="34" xfId="1573" applyFont="1" applyFill="1" applyBorder="1"/>
    <xf numFmtId="0" fontId="59" fillId="59" borderId="34" xfId="1573" applyFont="1" applyFill="1" applyBorder="1" applyAlignment="1">
      <alignment horizontal="center"/>
    </xf>
    <xf numFmtId="0" fontId="60" fillId="59" borderId="38" xfId="1573" applyFont="1" applyFill="1" applyBorder="1" applyAlignment="1">
      <alignment horizontal="center"/>
    </xf>
    <xf numFmtId="0" fontId="60" fillId="59" borderId="38" xfId="1573" applyFont="1" applyFill="1" applyBorder="1" applyAlignment="1">
      <alignment horizontal="center" vertical="center" wrapText="1"/>
    </xf>
    <xf numFmtId="0" fontId="60" fillId="59" borderId="39" xfId="1573" applyFont="1" applyFill="1" applyBorder="1" applyAlignment="1">
      <alignment horizontal="center" vertical="center" wrapText="1"/>
    </xf>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0" fontId="61" fillId="0" borderId="39" xfId="1573" applyFont="1" applyBorder="1"/>
    <xf numFmtId="165" fontId="62" fillId="0" borderId="39" xfId="1" applyNumberFormat="1" applyFont="1" applyBorder="1"/>
    <xf numFmtId="165" fontId="61" fillId="0" borderId="39" xfId="1" applyNumberFormat="1" applyFont="1" applyBorder="1"/>
    <xf numFmtId="43" fontId="61" fillId="0" borderId="39" xfId="1" applyNumberFormat="1" applyFont="1" applyBorder="1"/>
  </cellXfs>
  <cellStyles count="1794">
    <cellStyle name="20% - Accent1" xfId="1440" builtinId="30" customBuiltin="1"/>
    <cellStyle name="20% - Accent1 2" xfId="3"/>
    <cellStyle name="20% - Accent1 2 2" xfId="4"/>
    <cellStyle name="20% - Accent1 2 2 2" xfId="5"/>
    <cellStyle name="20% - Accent1 2 2 2 2" xfId="6"/>
    <cellStyle name="20% - Accent1 2 2 2 2 2" xfId="7"/>
    <cellStyle name="20% - Accent1 2 2 2 3" xfId="8"/>
    <cellStyle name="20% - Accent1 2 2 3" xfId="9"/>
    <cellStyle name="20% - Accent1 2 2 3 2" xfId="10"/>
    <cellStyle name="20% - Accent1 2 2 3 2 2" xfId="11"/>
    <cellStyle name="20% - Accent1 2 2 3 3" xfId="12"/>
    <cellStyle name="20% - Accent1 2 2 4" xfId="13"/>
    <cellStyle name="20% - Accent1 2 2 4 2" xfId="14"/>
    <cellStyle name="20% - Accent1 2 2 5" xfId="15"/>
    <cellStyle name="20% - Accent1 2 3" xfId="16"/>
    <cellStyle name="20% - Accent1 2 3 2" xfId="17"/>
    <cellStyle name="20% - Accent1 2 3 2 2" xfId="18"/>
    <cellStyle name="20% - Accent1 2 3 3" xfId="19"/>
    <cellStyle name="20% - Accent1 2 4" xfId="20"/>
    <cellStyle name="20% - Accent1 2 4 2" xfId="21"/>
    <cellStyle name="20% - Accent1 2 4 2 2" xfId="22"/>
    <cellStyle name="20% - Accent1 2 4 3" xfId="23"/>
    <cellStyle name="20% - Accent1 2 5" xfId="24"/>
    <cellStyle name="20% - Accent1 2 5 2" xfId="25"/>
    <cellStyle name="20% - Accent1 2 6" xfId="26"/>
    <cellStyle name="20% - Accent1 2 7" xfId="1574"/>
    <cellStyle name="20% - Accent1 3" xfId="27"/>
    <cellStyle name="20% - Accent1 3 2" xfId="28"/>
    <cellStyle name="20% - Accent1 3 2 2" xfId="29"/>
    <cellStyle name="20% - Accent1 3 2 2 2" xfId="30"/>
    <cellStyle name="20% - Accent1 3 2 3" xfId="31"/>
    <cellStyle name="20% - Accent1 3 3" xfId="32"/>
    <cellStyle name="20% - Accent1 3 3 2" xfId="33"/>
    <cellStyle name="20% - Accent1 3 3 2 2" xfId="34"/>
    <cellStyle name="20% - Accent1 3 3 3" xfId="35"/>
    <cellStyle name="20% - Accent1 3 4" xfId="36"/>
    <cellStyle name="20% - Accent1 3 4 2" xfId="37"/>
    <cellStyle name="20% - Accent1 3 5" xfId="38"/>
    <cellStyle name="20% - Accent1 4" xfId="39"/>
    <cellStyle name="20% - Accent1 4 2" xfId="40"/>
    <cellStyle name="20% - Accent1 4 2 2" xfId="41"/>
    <cellStyle name="20% - Accent1 4 3" xfId="42"/>
    <cellStyle name="20% - Accent1 5" xfId="43"/>
    <cellStyle name="20% - Accent1 5 2" xfId="44"/>
    <cellStyle name="20% - Accent1 5 2 2" xfId="45"/>
    <cellStyle name="20% - Accent1 5 3" xfId="46"/>
    <cellStyle name="20% - Accent1 6" xfId="47"/>
    <cellStyle name="20% - Accent1 6 2" xfId="48"/>
    <cellStyle name="20% - Accent1 7" xfId="49"/>
    <cellStyle name="20% - Accent1 7 2" xfId="50"/>
    <cellStyle name="20% - Accent1 8" xfId="51"/>
    <cellStyle name="20% - Accent1 9" xfId="52"/>
    <cellStyle name="20% - Accent1 9 2" xfId="1544"/>
    <cellStyle name="20% - Accent2" xfId="1444" builtinId="34" customBuiltin="1"/>
    <cellStyle name="20% - Accent2 2" xfId="53"/>
    <cellStyle name="20% - Accent2 2 2" xfId="54"/>
    <cellStyle name="20% - Accent2 2 2 2" xfId="55"/>
    <cellStyle name="20% - Accent2 2 2 2 2" xfId="56"/>
    <cellStyle name="20% - Accent2 2 2 2 2 2" xfId="57"/>
    <cellStyle name="20% - Accent2 2 2 2 3" xfId="58"/>
    <cellStyle name="20% - Accent2 2 2 3" xfId="59"/>
    <cellStyle name="20% - Accent2 2 2 3 2" xfId="60"/>
    <cellStyle name="20% - Accent2 2 2 3 2 2" xfId="61"/>
    <cellStyle name="20% - Accent2 2 2 3 3" xfId="62"/>
    <cellStyle name="20% - Accent2 2 2 4" xfId="63"/>
    <cellStyle name="20% - Accent2 2 2 4 2" xfId="64"/>
    <cellStyle name="20% - Accent2 2 2 5" xfId="65"/>
    <cellStyle name="20% - Accent2 2 3" xfId="66"/>
    <cellStyle name="20% - Accent2 2 3 2" xfId="67"/>
    <cellStyle name="20% - Accent2 2 3 2 2" xfId="68"/>
    <cellStyle name="20% - Accent2 2 3 3" xfId="69"/>
    <cellStyle name="20% - Accent2 2 4" xfId="70"/>
    <cellStyle name="20% - Accent2 2 4 2" xfId="71"/>
    <cellStyle name="20% - Accent2 2 4 2 2" xfId="72"/>
    <cellStyle name="20% - Accent2 2 4 3" xfId="73"/>
    <cellStyle name="20% - Accent2 2 5" xfId="74"/>
    <cellStyle name="20% - Accent2 2 5 2" xfId="75"/>
    <cellStyle name="20% - Accent2 2 6" xfId="76"/>
    <cellStyle name="20% - Accent2 2 7" xfId="1575"/>
    <cellStyle name="20% - Accent2 3" xfId="77"/>
    <cellStyle name="20% - Accent2 3 2" xfId="78"/>
    <cellStyle name="20% - Accent2 3 2 2" xfId="79"/>
    <cellStyle name="20% - Accent2 3 2 2 2" xfId="80"/>
    <cellStyle name="20% - Accent2 3 2 3" xfId="81"/>
    <cellStyle name="20% - Accent2 3 3" xfId="82"/>
    <cellStyle name="20% - Accent2 3 3 2" xfId="83"/>
    <cellStyle name="20% - Accent2 3 3 2 2" xfId="84"/>
    <cellStyle name="20% - Accent2 3 3 3" xfId="85"/>
    <cellStyle name="20% - Accent2 3 4" xfId="86"/>
    <cellStyle name="20% - Accent2 3 4 2" xfId="87"/>
    <cellStyle name="20% - Accent2 3 5" xfId="88"/>
    <cellStyle name="20% - Accent2 4" xfId="89"/>
    <cellStyle name="20% - Accent2 4 2" xfId="90"/>
    <cellStyle name="20% - Accent2 4 2 2" xfId="91"/>
    <cellStyle name="20% - Accent2 4 3" xfId="92"/>
    <cellStyle name="20% - Accent2 5" xfId="93"/>
    <cellStyle name="20% - Accent2 5 2" xfId="94"/>
    <cellStyle name="20% - Accent2 5 2 2" xfId="95"/>
    <cellStyle name="20% - Accent2 5 3" xfId="96"/>
    <cellStyle name="20% - Accent2 6" xfId="97"/>
    <cellStyle name="20% - Accent2 6 2" xfId="98"/>
    <cellStyle name="20% - Accent2 7" xfId="99"/>
    <cellStyle name="20% - Accent2 7 2" xfId="100"/>
    <cellStyle name="20% - Accent2 8" xfId="101"/>
    <cellStyle name="20% - Accent2 9" xfId="102"/>
    <cellStyle name="20% - Accent2 9 2" xfId="1545"/>
    <cellStyle name="20% - Accent3" xfId="1448" builtinId="38" customBuiltin="1"/>
    <cellStyle name="20% - Accent3 2" xfId="103"/>
    <cellStyle name="20% - Accent3 2 2" xfId="104"/>
    <cellStyle name="20% - Accent3 2 2 2" xfId="105"/>
    <cellStyle name="20% - Accent3 2 2 2 2" xfId="106"/>
    <cellStyle name="20% - Accent3 2 2 2 2 2" xfId="107"/>
    <cellStyle name="20% - Accent3 2 2 2 3" xfId="108"/>
    <cellStyle name="20% - Accent3 2 2 3" xfId="109"/>
    <cellStyle name="20% - Accent3 2 2 3 2" xfId="110"/>
    <cellStyle name="20% - Accent3 2 2 3 2 2" xfId="111"/>
    <cellStyle name="20% - Accent3 2 2 3 3" xfId="112"/>
    <cellStyle name="20% - Accent3 2 2 4" xfId="113"/>
    <cellStyle name="20% - Accent3 2 2 4 2" xfId="114"/>
    <cellStyle name="20% - Accent3 2 2 5" xfId="115"/>
    <cellStyle name="20% - Accent3 2 3" xfId="116"/>
    <cellStyle name="20% - Accent3 2 3 2" xfId="117"/>
    <cellStyle name="20% - Accent3 2 3 2 2" xfId="118"/>
    <cellStyle name="20% - Accent3 2 3 3" xfId="119"/>
    <cellStyle name="20% - Accent3 2 4" xfId="120"/>
    <cellStyle name="20% - Accent3 2 4 2" xfId="121"/>
    <cellStyle name="20% - Accent3 2 4 2 2" xfId="122"/>
    <cellStyle name="20% - Accent3 2 4 3" xfId="123"/>
    <cellStyle name="20% - Accent3 2 5" xfId="124"/>
    <cellStyle name="20% - Accent3 2 5 2" xfId="125"/>
    <cellStyle name="20% - Accent3 2 6" xfId="126"/>
    <cellStyle name="20% - Accent3 2 7" xfId="1576"/>
    <cellStyle name="20% - Accent3 3" xfId="127"/>
    <cellStyle name="20% - Accent3 3 2" xfId="128"/>
    <cellStyle name="20% - Accent3 3 2 2" xfId="129"/>
    <cellStyle name="20% - Accent3 3 2 2 2" xfId="130"/>
    <cellStyle name="20% - Accent3 3 2 3" xfId="131"/>
    <cellStyle name="20% - Accent3 3 3" xfId="132"/>
    <cellStyle name="20% - Accent3 3 3 2" xfId="133"/>
    <cellStyle name="20% - Accent3 3 3 2 2" xfId="134"/>
    <cellStyle name="20% - Accent3 3 3 3" xfId="135"/>
    <cellStyle name="20% - Accent3 3 4" xfId="136"/>
    <cellStyle name="20% - Accent3 3 4 2" xfId="137"/>
    <cellStyle name="20% - Accent3 3 5" xfId="138"/>
    <cellStyle name="20% - Accent3 4" xfId="139"/>
    <cellStyle name="20% - Accent3 4 2" xfId="140"/>
    <cellStyle name="20% - Accent3 4 2 2" xfId="141"/>
    <cellStyle name="20% - Accent3 4 3" xfId="142"/>
    <cellStyle name="20% - Accent3 5" xfId="143"/>
    <cellStyle name="20% - Accent3 5 2" xfId="144"/>
    <cellStyle name="20% - Accent3 5 2 2" xfId="145"/>
    <cellStyle name="20% - Accent3 5 3" xfId="146"/>
    <cellStyle name="20% - Accent3 6" xfId="147"/>
    <cellStyle name="20% - Accent3 6 2" xfId="148"/>
    <cellStyle name="20% - Accent3 7" xfId="149"/>
    <cellStyle name="20% - Accent3 7 2" xfId="150"/>
    <cellStyle name="20% - Accent3 8" xfId="151"/>
    <cellStyle name="20% - Accent3 9" xfId="152"/>
    <cellStyle name="20% - Accent3 9 2" xfId="1532"/>
    <cellStyle name="20% - Accent4" xfId="1452" builtinId="42" customBuiltin="1"/>
    <cellStyle name="20% - Accent4 2" xfId="153"/>
    <cellStyle name="20% - Accent4 2 2" xfId="154"/>
    <cellStyle name="20% - Accent4 2 2 2" xfId="155"/>
    <cellStyle name="20% - Accent4 2 2 2 2" xfId="156"/>
    <cellStyle name="20% - Accent4 2 2 2 2 2" xfId="157"/>
    <cellStyle name="20% - Accent4 2 2 2 3" xfId="158"/>
    <cellStyle name="20% - Accent4 2 2 3" xfId="159"/>
    <cellStyle name="20% - Accent4 2 2 3 2" xfId="160"/>
    <cellStyle name="20% - Accent4 2 2 3 2 2" xfId="161"/>
    <cellStyle name="20% - Accent4 2 2 3 3" xfId="162"/>
    <cellStyle name="20% - Accent4 2 2 4" xfId="163"/>
    <cellStyle name="20% - Accent4 2 2 4 2" xfId="164"/>
    <cellStyle name="20% - Accent4 2 2 5" xfId="165"/>
    <cellStyle name="20% - Accent4 2 3" xfId="166"/>
    <cellStyle name="20% - Accent4 2 3 2" xfId="167"/>
    <cellStyle name="20% - Accent4 2 3 2 2" xfId="168"/>
    <cellStyle name="20% - Accent4 2 3 3" xfId="169"/>
    <cellStyle name="20% - Accent4 2 4" xfId="170"/>
    <cellStyle name="20% - Accent4 2 4 2" xfId="171"/>
    <cellStyle name="20% - Accent4 2 4 2 2" xfId="172"/>
    <cellStyle name="20% - Accent4 2 4 3" xfId="173"/>
    <cellStyle name="20% - Accent4 2 5" xfId="174"/>
    <cellStyle name="20% - Accent4 2 5 2" xfId="175"/>
    <cellStyle name="20% - Accent4 2 6" xfId="176"/>
    <cellStyle name="20% - Accent4 2 7" xfId="1577"/>
    <cellStyle name="20% - Accent4 3" xfId="177"/>
    <cellStyle name="20% - Accent4 3 2" xfId="178"/>
    <cellStyle name="20% - Accent4 3 2 2" xfId="179"/>
    <cellStyle name="20% - Accent4 3 2 2 2" xfId="180"/>
    <cellStyle name="20% - Accent4 3 2 3" xfId="181"/>
    <cellStyle name="20% - Accent4 3 3" xfId="182"/>
    <cellStyle name="20% - Accent4 3 3 2" xfId="183"/>
    <cellStyle name="20% - Accent4 3 3 2 2" xfId="184"/>
    <cellStyle name="20% - Accent4 3 3 3" xfId="185"/>
    <cellStyle name="20% - Accent4 3 4" xfId="186"/>
    <cellStyle name="20% - Accent4 3 4 2" xfId="187"/>
    <cellStyle name="20% - Accent4 3 5" xfId="188"/>
    <cellStyle name="20% - Accent4 4" xfId="189"/>
    <cellStyle name="20% - Accent4 4 2" xfId="190"/>
    <cellStyle name="20% - Accent4 4 2 2" xfId="191"/>
    <cellStyle name="20% - Accent4 4 3" xfId="192"/>
    <cellStyle name="20% - Accent4 5" xfId="193"/>
    <cellStyle name="20% - Accent4 5 2" xfId="194"/>
    <cellStyle name="20% - Accent4 5 2 2" xfId="195"/>
    <cellStyle name="20% - Accent4 5 3" xfId="196"/>
    <cellStyle name="20% - Accent4 6" xfId="197"/>
    <cellStyle name="20% - Accent4 6 2" xfId="198"/>
    <cellStyle name="20% - Accent4 7" xfId="199"/>
    <cellStyle name="20% - Accent4 7 2" xfId="200"/>
    <cellStyle name="20% - Accent4 8" xfId="201"/>
    <cellStyle name="20% - Accent4 9" xfId="202"/>
    <cellStyle name="20% - Accent4 9 2" xfId="1511"/>
    <cellStyle name="20% - Accent5" xfId="1456" builtinId="46" customBuiltin="1"/>
    <cellStyle name="20% - Accent5 2" xfId="203"/>
    <cellStyle name="20% - Accent5 2 2" xfId="204"/>
    <cellStyle name="20% - Accent5 2 2 2" xfId="205"/>
    <cellStyle name="20% - Accent5 2 2 2 2" xfId="206"/>
    <cellStyle name="20% - Accent5 2 2 2 2 2" xfId="207"/>
    <cellStyle name="20% - Accent5 2 2 2 3" xfId="208"/>
    <cellStyle name="20% - Accent5 2 2 3" xfId="209"/>
    <cellStyle name="20% - Accent5 2 2 3 2" xfId="210"/>
    <cellStyle name="20% - Accent5 2 2 3 2 2" xfId="211"/>
    <cellStyle name="20% - Accent5 2 2 3 3" xfId="212"/>
    <cellStyle name="20% - Accent5 2 2 4" xfId="213"/>
    <cellStyle name="20% - Accent5 2 2 4 2" xfId="214"/>
    <cellStyle name="20% - Accent5 2 2 5" xfId="215"/>
    <cellStyle name="20% - Accent5 2 3" xfId="216"/>
    <cellStyle name="20% - Accent5 2 3 2" xfId="217"/>
    <cellStyle name="20% - Accent5 2 3 2 2" xfId="218"/>
    <cellStyle name="20% - Accent5 2 3 3" xfId="219"/>
    <cellStyle name="20% - Accent5 2 4" xfId="220"/>
    <cellStyle name="20% - Accent5 2 4 2" xfId="221"/>
    <cellStyle name="20% - Accent5 2 4 2 2" xfId="222"/>
    <cellStyle name="20% - Accent5 2 4 3" xfId="223"/>
    <cellStyle name="20% - Accent5 2 5" xfId="224"/>
    <cellStyle name="20% - Accent5 2 5 2" xfId="225"/>
    <cellStyle name="20% - Accent5 2 6" xfId="226"/>
    <cellStyle name="20% - Accent5 2 7" xfId="1578"/>
    <cellStyle name="20% - Accent5 3" xfId="227"/>
    <cellStyle name="20% - Accent5 3 2" xfId="228"/>
    <cellStyle name="20% - Accent5 3 2 2" xfId="229"/>
    <cellStyle name="20% - Accent5 3 2 2 2" xfId="230"/>
    <cellStyle name="20% - Accent5 3 2 3" xfId="231"/>
    <cellStyle name="20% - Accent5 3 3" xfId="232"/>
    <cellStyle name="20% - Accent5 3 3 2" xfId="233"/>
    <cellStyle name="20% - Accent5 3 3 2 2" xfId="234"/>
    <cellStyle name="20% - Accent5 3 3 3" xfId="235"/>
    <cellStyle name="20% - Accent5 3 4" xfId="236"/>
    <cellStyle name="20% - Accent5 3 4 2" xfId="237"/>
    <cellStyle name="20% - Accent5 3 5" xfId="238"/>
    <cellStyle name="20% - Accent5 4" xfId="239"/>
    <cellStyle name="20% - Accent5 4 2" xfId="240"/>
    <cellStyle name="20% - Accent5 4 2 2" xfId="241"/>
    <cellStyle name="20% - Accent5 4 3" xfId="242"/>
    <cellStyle name="20% - Accent5 5" xfId="243"/>
    <cellStyle name="20% - Accent5 5 2" xfId="244"/>
    <cellStyle name="20% - Accent5 5 2 2" xfId="245"/>
    <cellStyle name="20% - Accent5 5 3" xfId="246"/>
    <cellStyle name="20% - Accent5 6" xfId="247"/>
    <cellStyle name="20% - Accent5 6 2" xfId="248"/>
    <cellStyle name="20% - Accent5 7" xfId="249"/>
    <cellStyle name="20% - Accent5 7 2" xfId="250"/>
    <cellStyle name="20% - Accent5 8" xfId="251"/>
    <cellStyle name="20% - Accent5 9" xfId="252"/>
    <cellStyle name="20% - Accent5 9 2" xfId="1468"/>
    <cellStyle name="20% - Accent6" xfId="1460" builtinId="50" customBuiltin="1"/>
    <cellStyle name="20% - Accent6 2" xfId="253"/>
    <cellStyle name="20% - Accent6 2 2" xfId="254"/>
    <cellStyle name="20% - Accent6 2 2 2" xfId="255"/>
    <cellStyle name="20% - Accent6 2 2 2 2" xfId="256"/>
    <cellStyle name="20% - Accent6 2 2 2 2 2" xfId="257"/>
    <cellStyle name="20% - Accent6 2 2 2 3" xfId="258"/>
    <cellStyle name="20% - Accent6 2 2 3" xfId="259"/>
    <cellStyle name="20% - Accent6 2 2 3 2" xfId="260"/>
    <cellStyle name="20% - Accent6 2 2 3 2 2" xfId="261"/>
    <cellStyle name="20% - Accent6 2 2 3 3" xfId="262"/>
    <cellStyle name="20% - Accent6 2 2 4" xfId="263"/>
    <cellStyle name="20% - Accent6 2 2 4 2" xfId="264"/>
    <cellStyle name="20% - Accent6 2 2 5" xfId="265"/>
    <cellStyle name="20% - Accent6 2 3" xfId="266"/>
    <cellStyle name="20% - Accent6 2 3 2" xfId="267"/>
    <cellStyle name="20% - Accent6 2 3 2 2" xfId="268"/>
    <cellStyle name="20% - Accent6 2 3 3" xfId="269"/>
    <cellStyle name="20% - Accent6 2 4" xfId="270"/>
    <cellStyle name="20% - Accent6 2 4 2" xfId="271"/>
    <cellStyle name="20% - Accent6 2 4 2 2" xfId="272"/>
    <cellStyle name="20% - Accent6 2 4 3" xfId="273"/>
    <cellStyle name="20% - Accent6 2 5" xfId="274"/>
    <cellStyle name="20% - Accent6 2 5 2" xfId="275"/>
    <cellStyle name="20% - Accent6 2 6" xfId="276"/>
    <cellStyle name="20% - Accent6 2 7" xfId="1477"/>
    <cellStyle name="20% - Accent6 2 8" xfId="1579"/>
    <cellStyle name="20% - Accent6 3" xfId="277"/>
    <cellStyle name="20% - Accent6 3 2" xfId="278"/>
    <cellStyle name="20% - Accent6 3 2 2" xfId="279"/>
    <cellStyle name="20% - Accent6 3 2 2 2" xfId="280"/>
    <cellStyle name="20% - Accent6 3 2 3" xfId="281"/>
    <cellStyle name="20% - Accent6 3 3" xfId="282"/>
    <cellStyle name="20% - Accent6 3 3 2" xfId="283"/>
    <cellStyle name="20% - Accent6 3 3 2 2" xfId="284"/>
    <cellStyle name="20% - Accent6 3 3 3" xfId="285"/>
    <cellStyle name="20% - Accent6 3 4" xfId="286"/>
    <cellStyle name="20% - Accent6 3 4 2" xfId="287"/>
    <cellStyle name="20% - Accent6 3 5" xfId="288"/>
    <cellStyle name="20% - Accent6 4" xfId="289"/>
    <cellStyle name="20% - Accent6 4 2" xfId="290"/>
    <cellStyle name="20% - Accent6 4 2 2" xfId="291"/>
    <cellStyle name="20% - Accent6 4 3" xfId="292"/>
    <cellStyle name="20% - Accent6 5" xfId="293"/>
    <cellStyle name="20% - Accent6 5 2" xfId="294"/>
    <cellStyle name="20% - Accent6 5 2 2" xfId="295"/>
    <cellStyle name="20% - Accent6 5 3" xfId="296"/>
    <cellStyle name="20% - Accent6 6" xfId="297"/>
    <cellStyle name="20% - Accent6 6 2" xfId="298"/>
    <cellStyle name="20% - Accent6 7" xfId="299"/>
    <cellStyle name="20% - Accent6 7 2" xfId="300"/>
    <cellStyle name="20% - Accent6 8" xfId="301"/>
    <cellStyle name="20% - Accent6 9" xfId="302"/>
    <cellStyle name="20% - Accent6 9 2" xfId="1469"/>
    <cellStyle name="40% - Accent1" xfId="1441" builtinId="31" customBuiltin="1"/>
    <cellStyle name="40% - Accent1 2" xfId="303"/>
    <cellStyle name="40% - Accent1 2 2" xfId="304"/>
    <cellStyle name="40% - Accent1 2 2 2" xfId="305"/>
    <cellStyle name="40% - Accent1 2 2 2 2" xfId="306"/>
    <cellStyle name="40% - Accent1 2 2 2 2 2" xfId="307"/>
    <cellStyle name="40% - Accent1 2 2 2 3" xfId="308"/>
    <cellStyle name="40% - Accent1 2 2 3" xfId="309"/>
    <cellStyle name="40% - Accent1 2 2 3 2" xfId="310"/>
    <cellStyle name="40% - Accent1 2 2 3 2 2" xfId="311"/>
    <cellStyle name="40% - Accent1 2 2 3 3" xfId="312"/>
    <cellStyle name="40% - Accent1 2 2 4" xfId="313"/>
    <cellStyle name="40% - Accent1 2 2 4 2" xfId="314"/>
    <cellStyle name="40% - Accent1 2 2 5" xfId="315"/>
    <cellStyle name="40% - Accent1 2 3" xfId="316"/>
    <cellStyle name="40% - Accent1 2 3 2" xfId="317"/>
    <cellStyle name="40% - Accent1 2 3 2 2" xfId="318"/>
    <cellStyle name="40% - Accent1 2 3 3" xfId="319"/>
    <cellStyle name="40% - Accent1 2 4" xfId="320"/>
    <cellStyle name="40% - Accent1 2 4 2" xfId="321"/>
    <cellStyle name="40% - Accent1 2 4 2 2" xfId="322"/>
    <cellStyle name="40% - Accent1 2 4 3" xfId="323"/>
    <cellStyle name="40% - Accent1 2 5" xfId="324"/>
    <cellStyle name="40% - Accent1 2 5 2" xfId="325"/>
    <cellStyle name="40% - Accent1 2 6" xfId="326"/>
    <cellStyle name="40% - Accent1 2 7" xfId="1580"/>
    <cellStyle name="40% - Accent1 3" xfId="327"/>
    <cellStyle name="40% - Accent1 3 2" xfId="328"/>
    <cellStyle name="40% - Accent1 3 2 2" xfId="329"/>
    <cellStyle name="40% - Accent1 3 2 2 2" xfId="330"/>
    <cellStyle name="40% - Accent1 3 2 3" xfId="331"/>
    <cellStyle name="40% - Accent1 3 3" xfId="332"/>
    <cellStyle name="40% - Accent1 3 3 2" xfId="333"/>
    <cellStyle name="40% - Accent1 3 3 2 2" xfId="334"/>
    <cellStyle name="40% - Accent1 3 3 3" xfId="335"/>
    <cellStyle name="40% - Accent1 3 4" xfId="336"/>
    <cellStyle name="40% - Accent1 3 4 2" xfId="337"/>
    <cellStyle name="40% - Accent1 3 5" xfId="338"/>
    <cellStyle name="40% - Accent1 4" xfId="339"/>
    <cellStyle name="40% - Accent1 4 2" xfId="340"/>
    <cellStyle name="40% - Accent1 4 2 2" xfId="341"/>
    <cellStyle name="40% - Accent1 4 3" xfId="342"/>
    <cellStyle name="40% - Accent1 5" xfId="343"/>
    <cellStyle name="40% - Accent1 5 2" xfId="344"/>
    <cellStyle name="40% - Accent1 5 2 2" xfId="345"/>
    <cellStyle name="40% - Accent1 5 3" xfId="346"/>
    <cellStyle name="40% - Accent1 6" xfId="347"/>
    <cellStyle name="40% - Accent1 6 2" xfId="348"/>
    <cellStyle name="40% - Accent1 7" xfId="349"/>
    <cellStyle name="40% - Accent1 7 2" xfId="350"/>
    <cellStyle name="40% - Accent1 8" xfId="351"/>
    <cellStyle name="40% - Accent1 9" xfId="352"/>
    <cellStyle name="40% - Accent1 9 2" xfId="1497"/>
    <cellStyle name="40% - Accent2" xfId="1445" builtinId="35" customBuiltin="1"/>
    <cellStyle name="40% - Accent2 2" xfId="353"/>
    <cellStyle name="40% - Accent2 2 2" xfId="354"/>
    <cellStyle name="40% - Accent2 2 2 2" xfId="355"/>
    <cellStyle name="40% - Accent2 2 2 2 2" xfId="356"/>
    <cellStyle name="40% - Accent2 2 2 2 2 2" xfId="357"/>
    <cellStyle name="40% - Accent2 2 2 2 3" xfId="358"/>
    <cellStyle name="40% - Accent2 2 2 3" xfId="359"/>
    <cellStyle name="40% - Accent2 2 2 3 2" xfId="360"/>
    <cellStyle name="40% - Accent2 2 2 3 2 2" xfId="361"/>
    <cellStyle name="40% - Accent2 2 2 3 3" xfId="362"/>
    <cellStyle name="40% - Accent2 2 2 4" xfId="363"/>
    <cellStyle name="40% - Accent2 2 2 4 2" xfId="364"/>
    <cellStyle name="40% - Accent2 2 2 5" xfId="365"/>
    <cellStyle name="40% - Accent2 2 3" xfId="366"/>
    <cellStyle name="40% - Accent2 2 3 2" xfId="367"/>
    <cellStyle name="40% - Accent2 2 3 2 2" xfId="368"/>
    <cellStyle name="40% - Accent2 2 3 3" xfId="369"/>
    <cellStyle name="40% - Accent2 2 4" xfId="370"/>
    <cellStyle name="40% - Accent2 2 4 2" xfId="371"/>
    <cellStyle name="40% - Accent2 2 4 2 2" xfId="372"/>
    <cellStyle name="40% - Accent2 2 4 3" xfId="373"/>
    <cellStyle name="40% - Accent2 2 5" xfId="374"/>
    <cellStyle name="40% - Accent2 2 5 2" xfId="375"/>
    <cellStyle name="40% - Accent2 2 6" xfId="376"/>
    <cellStyle name="40% - Accent2 2 7" xfId="1581"/>
    <cellStyle name="40% - Accent2 3" xfId="377"/>
    <cellStyle name="40% - Accent2 3 2" xfId="378"/>
    <cellStyle name="40% - Accent2 3 2 2" xfId="379"/>
    <cellStyle name="40% - Accent2 3 2 2 2" xfId="380"/>
    <cellStyle name="40% - Accent2 3 2 3" xfId="381"/>
    <cellStyle name="40% - Accent2 3 3" xfId="382"/>
    <cellStyle name="40% - Accent2 3 3 2" xfId="383"/>
    <cellStyle name="40% - Accent2 3 3 2 2" xfId="384"/>
    <cellStyle name="40% - Accent2 3 3 3" xfId="385"/>
    <cellStyle name="40% - Accent2 3 4" xfId="386"/>
    <cellStyle name="40% - Accent2 3 4 2" xfId="387"/>
    <cellStyle name="40% - Accent2 3 5" xfId="388"/>
    <cellStyle name="40% - Accent2 4" xfId="389"/>
    <cellStyle name="40% - Accent2 4 2" xfId="390"/>
    <cellStyle name="40% - Accent2 4 2 2" xfId="391"/>
    <cellStyle name="40% - Accent2 4 3" xfId="392"/>
    <cellStyle name="40% - Accent2 5" xfId="393"/>
    <cellStyle name="40% - Accent2 5 2" xfId="394"/>
    <cellStyle name="40% - Accent2 5 2 2" xfId="395"/>
    <cellStyle name="40% - Accent2 5 3" xfId="396"/>
    <cellStyle name="40% - Accent2 6" xfId="397"/>
    <cellStyle name="40% - Accent2 6 2" xfId="398"/>
    <cellStyle name="40% - Accent2 7" xfId="399"/>
    <cellStyle name="40% - Accent2 7 2" xfId="400"/>
    <cellStyle name="40% - Accent2 8" xfId="401"/>
    <cellStyle name="40% - Accent2 9" xfId="402"/>
    <cellStyle name="40% - Accent2 9 2" xfId="1488"/>
    <cellStyle name="40% - Accent3" xfId="1449" builtinId="39" customBuiltin="1"/>
    <cellStyle name="40% - Accent3 2" xfId="403"/>
    <cellStyle name="40% - Accent3 2 2" xfId="404"/>
    <cellStyle name="40% - Accent3 2 2 2" xfId="405"/>
    <cellStyle name="40% - Accent3 2 2 2 2" xfId="406"/>
    <cellStyle name="40% - Accent3 2 2 2 2 2" xfId="407"/>
    <cellStyle name="40% - Accent3 2 2 2 3" xfId="408"/>
    <cellStyle name="40% - Accent3 2 2 3" xfId="409"/>
    <cellStyle name="40% - Accent3 2 2 3 2" xfId="410"/>
    <cellStyle name="40% - Accent3 2 2 3 2 2" xfId="411"/>
    <cellStyle name="40% - Accent3 2 2 3 3" xfId="412"/>
    <cellStyle name="40% - Accent3 2 2 4" xfId="413"/>
    <cellStyle name="40% - Accent3 2 2 4 2" xfId="414"/>
    <cellStyle name="40% - Accent3 2 2 5" xfId="415"/>
    <cellStyle name="40% - Accent3 2 3" xfId="416"/>
    <cellStyle name="40% - Accent3 2 3 2" xfId="417"/>
    <cellStyle name="40% - Accent3 2 3 2 2" xfId="418"/>
    <cellStyle name="40% - Accent3 2 3 3" xfId="419"/>
    <cellStyle name="40% - Accent3 2 4" xfId="420"/>
    <cellStyle name="40% - Accent3 2 4 2" xfId="421"/>
    <cellStyle name="40% - Accent3 2 4 2 2" xfId="422"/>
    <cellStyle name="40% - Accent3 2 4 3" xfId="423"/>
    <cellStyle name="40% - Accent3 2 5" xfId="424"/>
    <cellStyle name="40% - Accent3 2 5 2" xfId="425"/>
    <cellStyle name="40% - Accent3 2 6" xfId="426"/>
    <cellStyle name="40% - Accent3 2 7" xfId="1582"/>
    <cellStyle name="40% - Accent3 3" xfId="427"/>
    <cellStyle name="40% - Accent3 3 2" xfId="428"/>
    <cellStyle name="40% - Accent3 3 2 2" xfId="429"/>
    <cellStyle name="40% - Accent3 3 2 2 2" xfId="430"/>
    <cellStyle name="40% - Accent3 3 2 3" xfId="431"/>
    <cellStyle name="40% - Accent3 3 3" xfId="432"/>
    <cellStyle name="40% - Accent3 3 3 2" xfId="433"/>
    <cellStyle name="40% - Accent3 3 3 2 2" xfId="434"/>
    <cellStyle name="40% - Accent3 3 3 3" xfId="435"/>
    <cellStyle name="40% - Accent3 3 4" xfId="436"/>
    <cellStyle name="40% - Accent3 3 4 2" xfId="437"/>
    <cellStyle name="40% - Accent3 3 5" xfId="438"/>
    <cellStyle name="40% - Accent3 4" xfId="439"/>
    <cellStyle name="40% - Accent3 4 2" xfId="440"/>
    <cellStyle name="40% - Accent3 4 2 2" xfId="441"/>
    <cellStyle name="40% - Accent3 4 3" xfId="442"/>
    <cellStyle name="40% - Accent3 5" xfId="443"/>
    <cellStyle name="40% - Accent3 5 2" xfId="444"/>
    <cellStyle name="40% - Accent3 5 2 2" xfId="445"/>
    <cellStyle name="40% - Accent3 5 3" xfId="446"/>
    <cellStyle name="40% - Accent3 6" xfId="447"/>
    <cellStyle name="40% - Accent3 6 2" xfId="448"/>
    <cellStyle name="40% - Accent3 7" xfId="449"/>
    <cellStyle name="40% - Accent3 7 2" xfId="450"/>
    <cellStyle name="40% - Accent3 8" xfId="451"/>
    <cellStyle name="40% - Accent3 9" xfId="452"/>
    <cellStyle name="40% - Accent3 9 2" xfId="1486"/>
    <cellStyle name="40% - Accent4" xfId="1453" builtinId="43" customBuiltin="1"/>
    <cellStyle name="40% - Accent4 2" xfId="453"/>
    <cellStyle name="40% - Accent4 2 2" xfId="454"/>
    <cellStyle name="40% - Accent4 2 2 2" xfId="455"/>
    <cellStyle name="40% - Accent4 2 2 2 2" xfId="456"/>
    <cellStyle name="40% - Accent4 2 2 2 2 2" xfId="457"/>
    <cellStyle name="40% - Accent4 2 2 2 3" xfId="458"/>
    <cellStyle name="40% - Accent4 2 2 3" xfId="459"/>
    <cellStyle name="40% - Accent4 2 2 3 2" xfId="460"/>
    <cellStyle name="40% - Accent4 2 2 3 2 2" xfId="461"/>
    <cellStyle name="40% - Accent4 2 2 3 3" xfId="462"/>
    <cellStyle name="40% - Accent4 2 2 4" xfId="463"/>
    <cellStyle name="40% - Accent4 2 2 4 2" xfId="464"/>
    <cellStyle name="40% - Accent4 2 2 5" xfId="465"/>
    <cellStyle name="40% - Accent4 2 3" xfId="466"/>
    <cellStyle name="40% - Accent4 2 3 2" xfId="467"/>
    <cellStyle name="40% - Accent4 2 3 2 2" xfId="468"/>
    <cellStyle name="40% - Accent4 2 3 3" xfId="469"/>
    <cellStyle name="40% - Accent4 2 4" xfId="470"/>
    <cellStyle name="40% - Accent4 2 4 2" xfId="471"/>
    <cellStyle name="40% - Accent4 2 4 2 2" xfId="472"/>
    <cellStyle name="40% - Accent4 2 4 3" xfId="473"/>
    <cellStyle name="40% - Accent4 2 5" xfId="474"/>
    <cellStyle name="40% - Accent4 2 5 2" xfId="475"/>
    <cellStyle name="40% - Accent4 2 6" xfId="476"/>
    <cellStyle name="40% - Accent4 2 7" xfId="1583"/>
    <cellStyle name="40% - Accent4 3" xfId="477"/>
    <cellStyle name="40% - Accent4 3 2" xfId="478"/>
    <cellStyle name="40% - Accent4 3 2 2" xfId="479"/>
    <cellStyle name="40% - Accent4 3 2 2 2" xfId="480"/>
    <cellStyle name="40% - Accent4 3 2 3" xfId="481"/>
    <cellStyle name="40% - Accent4 3 3" xfId="482"/>
    <cellStyle name="40% - Accent4 3 3 2" xfId="483"/>
    <cellStyle name="40% - Accent4 3 3 2 2" xfId="484"/>
    <cellStyle name="40% - Accent4 3 3 3" xfId="485"/>
    <cellStyle name="40% - Accent4 3 4" xfId="486"/>
    <cellStyle name="40% - Accent4 3 4 2" xfId="487"/>
    <cellStyle name="40% - Accent4 3 5" xfId="488"/>
    <cellStyle name="40% - Accent4 4" xfId="489"/>
    <cellStyle name="40% - Accent4 4 2" xfId="490"/>
    <cellStyle name="40% - Accent4 4 2 2" xfId="491"/>
    <cellStyle name="40% - Accent4 4 3" xfId="492"/>
    <cellStyle name="40% - Accent4 5" xfId="493"/>
    <cellStyle name="40% - Accent4 5 2" xfId="494"/>
    <cellStyle name="40% - Accent4 5 2 2" xfId="495"/>
    <cellStyle name="40% - Accent4 5 3" xfId="496"/>
    <cellStyle name="40% - Accent4 6" xfId="497"/>
    <cellStyle name="40% - Accent4 6 2" xfId="498"/>
    <cellStyle name="40% - Accent4 7" xfId="499"/>
    <cellStyle name="40% - Accent4 7 2" xfId="500"/>
    <cellStyle name="40% - Accent4 8" xfId="501"/>
    <cellStyle name="40% - Accent4 9" xfId="502"/>
    <cellStyle name="40% - Accent4 9 2" xfId="1564"/>
    <cellStyle name="40% - Accent5" xfId="1457" builtinId="47" customBuiltin="1"/>
    <cellStyle name="40% - Accent5 2" xfId="503"/>
    <cellStyle name="40% - Accent5 2 2" xfId="504"/>
    <cellStyle name="40% - Accent5 2 2 2" xfId="505"/>
    <cellStyle name="40% - Accent5 2 2 2 2" xfId="506"/>
    <cellStyle name="40% - Accent5 2 2 2 2 2" xfId="507"/>
    <cellStyle name="40% - Accent5 2 2 2 3" xfId="508"/>
    <cellStyle name="40% - Accent5 2 2 3" xfId="509"/>
    <cellStyle name="40% - Accent5 2 2 3 2" xfId="510"/>
    <cellStyle name="40% - Accent5 2 2 3 2 2" xfId="511"/>
    <cellStyle name="40% - Accent5 2 2 3 3" xfId="512"/>
    <cellStyle name="40% - Accent5 2 2 4" xfId="513"/>
    <cellStyle name="40% - Accent5 2 2 4 2" xfId="514"/>
    <cellStyle name="40% - Accent5 2 2 5" xfId="515"/>
    <cellStyle name="40% - Accent5 2 3" xfId="516"/>
    <cellStyle name="40% - Accent5 2 3 2" xfId="517"/>
    <cellStyle name="40% - Accent5 2 3 2 2" xfId="518"/>
    <cellStyle name="40% - Accent5 2 3 3" xfId="519"/>
    <cellStyle name="40% - Accent5 2 4" xfId="520"/>
    <cellStyle name="40% - Accent5 2 4 2" xfId="521"/>
    <cellStyle name="40% - Accent5 2 4 2 2" xfId="522"/>
    <cellStyle name="40% - Accent5 2 4 3" xfId="523"/>
    <cellStyle name="40% - Accent5 2 5" xfId="524"/>
    <cellStyle name="40% - Accent5 2 5 2" xfId="525"/>
    <cellStyle name="40% - Accent5 2 6" xfId="526"/>
    <cellStyle name="40% - Accent5 2 7" xfId="1584"/>
    <cellStyle name="40% - Accent5 3" xfId="527"/>
    <cellStyle name="40% - Accent5 3 2" xfId="528"/>
    <cellStyle name="40% - Accent5 3 2 2" xfId="529"/>
    <cellStyle name="40% - Accent5 3 2 2 2" xfId="530"/>
    <cellStyle name="40% - Accent5 3 2 3" xfId="531"/>
    <cellStyle name="40% - Accent5 3 3" xfId="532"/>
    <cellStyle name="40% - Accent5 3 3 2" xfId="533"/>
    <cellStyle name="40% - Accent5 3 3 2 2" xfId="534"/>
    <cellStyle name="40% - Accent5 3 3 3" xfId="535"/>
    <cellStyle name="40% - Accent5 3 4" xfId="536"/>
    <cellStyle name="40% - Accent5 3 4 2" xfId="537"/>
    <cellStyle name="40% - Accent5 3 5" xfId="538"/>
    <cellStyle name="40% - Accent5 4" xfId="539"/>
    <cellStyle name="40% - Accent5 4 2" xfId="540"/>
    <cellStyle name="40% - Accent5 4 2 2" xfId="541"/>
    <cellStyle name="40% - Accent5 4 3" xfId="542"/>
    <cellStyle name="40% - Accent5 5" xfId="543"/>
    <cellStyle name="40% - Accent5 5 2" xfId="544"/>
    <cellStyle name="40% - Accent5 5 2 2" xfId="545"/>
    <cellStyle name="40% - Accent5 5 3" xfId="546"/>
    <cellStyle name="40% - Accent5 6" xfId="547"/>
    <cellStyle name="40% - Accent5 6 2" xfId="548"/>
    <cellStyle name="40% - Accent5 7" xfId="549"/>
    <cellStyle name="40% - Accent5 7 2" xfId="550"/>
    <cellStyle name="40% - Accent5 8" xfId="551"/>
    <cellStyle name="40% - Accent5 9" xfId="552"/>
    <cellStyle name="40% - Accent5 9 2" xfId="1482"/>
    <cellStyle name="40% - Accent6" xfId="1461" builtinId="51" customBuiltin="1"/>
    <cellStyle name="40% - Accent6 2" xfId="553"/>
    <cellStyle name="40% - Accent6 2 2" xfId="554"/>
    <cellStyle name="40% - Accent6 2 2 2" xfId="555"/>
    <cellStyle name="40% - Accent6 2 2 2 2" xfId="556"/>
    <cellStyle name="40% - Accent6 2 2 2 2 2" xfId="557"/>
    <cellStyle name="40% - Accent6 2 2 2 3" xfId="558"/>
    <cellStyle name="40% - Accent6 2 2 3" xfId="559"/>
    <cellStyle name="40% - Accent6 2 2 3 2" xfId="560"/>
    <cellStyle name="40% - Accent6 2 2 3 2 2" xfId="561"/>
    <cellStyle name="40% - Accent6 2 2 3 3" xfId="562"/>
    <cellStyle name="40% - Accent6 2 2 4" xfId="563"/>
    <cellStyle name="40% - Accent6 2 2 4 2" xfId="564"/>
    <cellStyle name="40% - Accent6 2 2 5" xfId="565"/>
    <cellStyle name="40% - Accent6 2 3" xfId="566"/>
    <cellStyle name="40% - Accent6 2 3 2" xfId="567"/>
    <cellStyle name="40% - Accent6 2 3 2 2" xfId="568"/>
    <cellStyle name="40% - Accent6 2 3 3" xfId="569"/>
    <cellStyle name="40% - Accent6 2 4" xfId="570"/>
    <cellStyle name="40% - Accent6 2 4 2" xfId="571"/>
    <cellStyle name="40% - Accent6 2 4 2 2" xfId="572"/>
    <cellStyle name="40% - Accent6 2 4 3" xfId="573"/>
    <cellStyle name="40% - Accent6 2 5" xfId="574"/>
    <cellStyle name="40% - Accent6 2 5 2" xfId="575"/>
    <cellStyle name="40% - Accent6 2 6" xfId="576"/>
    <cellStyle name="40% - Accent6 2 7" xfId="1585"/>
    <cellStyle name="40% - Accent6 3" xfId="577"/>
    <cellStyle name="40% - Accent6 3 2" xfId="578"/>
    <cellStyle name="40% - Accent6 3 2 2" xfId="579"/>
    <cellStyle name="40% - Accent6 3 2 2 2" xfId="580"/>
    <cellStyle name="40% - Accent6 3 2 3" xfId="581"/>
    <cellStyle name="40% - Accent6 3 3" xfId="582"/>
    <cellStyle name="40% - Accent6 3 3 2" xfId="583"/>
    <cellStyle name="40% - Accent6 3 3 2 2" xfId="584"/>
    <cellStyle name="40% - Accent6 3 3 3" xfId="585"/>
    <cellStyle name="40% - Accent6 3 4" xfId="586"/>
    <cellStyle name="40% - Accent6 3 4 2" xfId="587"/>
    <cellStyle name="40% - Accent6 3 5" xfId="588"/>
    <cellStyle name="40% - Accent6 4" xfId="589"/>
    <cellStyle name="40% - Accent6 4 2" xfId="590"/>
    <cellStyle name="40% - Accent6 4 2 2" xfId="591"/>
    <cellStyle name="40% - Accent6 4 3" xfId="592"/>
    <cellStyle name="40% - Accent6 5" xfId="593"/>
    <cellStyle name="40% - Accent6 5 2" xfId="594"/>
    <cellStyle name="40% - Accent6 5 2 2" xfId="595"/>
    <cellStyle name="40% - Accent6 5 3" xfId="596"/>
    <cellStyle name="40% - Accent6 6" xfId="597"/>
    <cellStyle name="40% - Accent6 6 2" xfId="598"/>
    <cellStyle name="40% - Accent6 7" xfId="599"/>
    <cellStyle name="40% - Accent6 7 2" xfId="600"/>
    <cellStyle name="40% - Accent6 8" xfId="601"/>
    <cellStyle name="40% - Accent6 9" xfId="602"/>
    <cellStyle name="40% - Accent6 9 2" xfId="1548"/>
    <cellStyle name="60% - Accent1" xfId="1442" builtinId="32" customBuiltin="1"/>
    <cellStyle name="60% - Accent1 2" xfId="1522"/>
    <cellStyle name="60% - Accent1 2 2" xfId="1586"/>
    <cellStyle name="60% - Accent1 3" xfId="1515"/>
    <cellStyle name="60% - Accent2" xfId="1446" builtinId="36" customBuiltin="1"/>
    <cellStyle name="60% - Accent2 2" xfId="1534"/>
    <cellStyle name="60% - Accent2 2 2" xfId="1587"/>
    <cellStyle name="60% - Accent2 3" xfId="1524"/>
    <cellStyle name="60% - Accent3" xfId="1450" builtinId="40" customBuiltin="1"/>
    <cellStyle name="60% - Accent3 2" xfId="1516"/>
    <cellStyle name="60% - Accent3 2 2" xfId="1588"/>
    <cellStyle name="60% - Accent3 3" xfId="1559"/>
    <cellStyle name="60% - Accent4" xfId="1454" builtinId="44" customBuiltin="1"/>
    <cellStyle name="60% - Accent4 2" xfId="1527"/>
    <cellStyle name="60% - Accent4 2 2" xfId="1589"/>
    <cellStyle name="60% - Accent4 3" xfId="1560"/>
    <cellStyle name="60% - Accent5" xfId="1458" builtinId="48" customBuiltin="1"/>
    <cellStyle name="60% - Accent5 2" xfId="1536"/>
    <cellStyle name="60% - Accent5 2 2" xfId="1590"/>
    <cellStyle name="60% - Accent5 3" xfId="1484"/>
    <cellStyle name="60% - Accent6" xfId="1462" builtinId="52" customBuiltin="1"/>
    <cellStyle name="60% - Accent6 2" xfId="1503"/>
    <cellStyle name="60% - Accent6 2 2" xfId="1591"/>
    <cellStyle name="60% - Accent6 3" xfId="1523"/>
    <cellStyle name="Accent1" xfId="1439" builtinId="29" customBuiltin="1"/>
    <cellStyle name="Accent1 2" xfId="1525"/>
    <cellStyle name="Accent1 2 2" xfId="1592"/>
    <cellStyle name="Accent1 3" xfId="1526"/>
    <cellStyle name="Accent2" xfId="1443" builtinId="33" customBuiltin="1"/>
    <cellStyle name="Accent2 2" xfId="1495"/>
    <cellStyle name="Accent2 2 2" xfId="1593"/>
    <cellStyle name="Accent2 3" xfId="1561"/>
    <cellStyle name="Accent3" xfId="1447" builtinId="37" customBuiltin="1"/>
    <cellStyle name="Accent3 2" xfId="1554"/>
    <cellStyle name="Accent3 2 2" xfId="1594"/>
    <cellStyle name="Accent3 3" xfId="1499"/>
    <cellStyle name="Accent4" xfId="1451" builtinId="41" customBuiltin="1"/>
    <cellStyle name="Accent4 2" xfId="1546"/>
    <cellStyle name="Accent4 2 2" xfId="1595"/>
    <cellStyle name="Accent4 3" xfId="1480"/>
    <cellStyle name="Accent5" xfId="1455" builtinId="45" customBuiltin="1"/>
    <cellStyle name="Accent5 2" xfId="1553"/>
    <cellStyle name="Accent5 2 2" xfId="1596"/>
    <cellStyle name="Accent5 3" xfId="1504"/>
    <cellStyle name="Accent6" xfId="1459" builtinId="49" customBuiltin="1"/>
    <cellStyle name="Accent6 2" xfId="1479"/>
    <cellStyle name="Accent6 2 2" xfId="1597"/>
    <cellStyle name="Accent6 3" xfId="1506"/>
    <cellStyle name="arial mt" xfId="1598"/>
    <cellStyle name="Bad" xfId="1429" builtinId="27" customBuiltin="1"/>
    <cellStyle name="Bad 2" xfId="1550"/>
    <cellStyle name="Bad 2 2" xfId="1599"/>
    <cellStyle name="Bad 3" xfId="1562"/>
    <cellStyle name="Bottom bold border" xfId="1600"/>
    <cellStyle name="Bottom single border" xfId="1601"/>
    <cellStyle name="Calculation" xfId="1433" builtinId="22" customBuiltin="1"/>
    <cellStyle name="Calculation 2" xfId="1481"/>
    <cellStyle name="Calculation 2 2" xfId="1602"/>
    <cellStyle name="Calculation 3" xfId="1528"/>
    <cellStyle name="Check Cell" xfId="1435" builtinId="23" customBuiltin="1"/>
    <cellStyle name="Check Cell 2" xfId="1465"/>
    <cellStyle name="Check Cell 2 2" xfId="1603"/>
    <cellStyle name="Check Cell 3" xfId="1487"/>
    <cellStyle name="Comma" xfId="1" builtinId="3"/>
    <cellStyle name="Comma 10" xfId="603"/>
    <cellStyle name="Comma 10 2" xfId="604"/>
    <cellStyle name="Comma 11" xfId="605"/>
    <cellStyle name="Comma 11 2" xfId="606"/>
    <cellStyle name="Comma 11 2 2" xfId="607"/>
    <cellStyle name="Comma 12" xfId="608"/>
    <cellStyle name="Comma 12 2" xfId="609"/>
    <cellStyle name="Comma 12 3" xfId="610"/>
    <cellStyle name="Comma 12 3 2" xfId="611"/>
    <cellStyle name="Comma 12 4" xfId="612"/>
    <cellStyle name="Comma 13" xfId="613"/>
    <cellStyle name="Comma 13 2" xfId="614"/>
    <cellStyle name="Comma 14" xfId="615"/>
    <cellStyle name="Comma 14 2" xfId="616"/>
    <cellStyle name="Comma 15" xfId="617"/>
    <cellStyle name="Comma 15 2" xfId="618"/>
    <cellStyle name="Comma 2" xfId="619"/>
    <cellStyle name="Comma 2 2" xfId="620"/>
    <cellStyle name="Comma 2 2 2" xfId="621"/>
    <cellStyle name="Comma 2 2 2 2" xfId="622"/>
    <cellStyle name="Comma 2 2 2 2 2" xfId="623"/>
    <cellStyle name="Comma 2 2 2 2 2 2" xfId="624"/>
    <cellStyle name="Comma 2 2 2 2 3" xfId="625"/>
    <cellStyle name="Comma 2 2 2 3" xfId="626"/>
    <cellStyle name="Comma 2 2 2 4" xfId="627"/>
    <cellStyle name="Comma 2 2 2 4 2" xfId="628"/>
    <cellStyle name="Comma 2 2 2 5" xfId="629"/>
    <cellStyle name="Comma 2 2 3" xfId="630"/>
    <cellStyle name="Comma 2 2 4" xfId="631"/>
    <cellStyle name="Comma 2 2 4 2" xfId="632"/>
    <cellStyle name="Comma 2 2 4 2 2" xfId="633"/>
    <cellStyle name="Comma 2 2 4 3" xfId="634"/>
    <cellStyle name="Comma 2 2 5" xfId="635"/>
    <cellStyle name="Comma 2 2 5 2" xfId="636"/>
    <cellStyle name="Comma 2 2 5 2 2" xfId="637"/>
    <cellStyle name="Comma 2 2 5 3" xfId="638"/>
    <cellStyle name="Comma 2 2 6" xfId="639"/>
    <cellStyle name="Comma 2 2 6 2" xfId="640"/>
    <cellStyle name="Comma 2 2 7" xfId="641"/>
    <cellStyle name="Comma 2 2 8" xfId="1472"/>
    <cellStyle name="Comma 2 3" xfId="642"/>
    <cellStyle name="Comma 2 3 2" xfId="643"/>
    <cellStyle name="Comma 2 3 3" xfId="1476"/>
    <cellStyle name="Comma 2 3 4" xfId="1605"/>
    <cellStyle name="Comma 2 4" xfId="644"/>
    <cellStyle name="Comma 2 4 2" xfId="1539"/>
    <cellStyle name="Comma 2 4 3" xfId="1606"/>
    <cellStyle name="Comma 2 5" xfId="645"/>
    <cellStyle name="Comma 2 5 2" xfId="646"/>
    <cellStyle name="Comma 2 5 2 2" xfId="647"/>
    <cellStyle name="Comma 2 5 3" xfId="648"/>
    <cellStyle name="Comma 2 5 4" xfId="1540"/>
    <cellStyle name="Comma 2 6" xfId="649"/>
    <cellStyle name="Comma 2 7" xfId="1604"/>
    <cellStyle name="Comma 2_FWBgen2010val" xfId="1607"/>
    <cellStyle name="Comma 3" xfId="650"/>
    <cellStyle name="Comma 3 2" xfId="651"/>
    <cellStyle name="Comma 3 2 2" xfId="1489"/>
    <cellStyle name="Comma 3 2 2 2" xfId="1610"/>
    <cellStyle name="Comma 3 2 3" xfId="1609"/>
    <cellStyle name="Comma 3 3" xfId="652"/>
    <cellStyle name="Comma 3 3 2" xfId="653"/>
    <cellStyle name="Comma 3 3 2 2" xfId="1571"/>
    <cellStyle name="Comma 3 3 2 3" xfId="1541"/>
    <cellStyle name="Comma 3 3 3" xfId="1565"/>
    <cellStyle name="Comma 3 4" xfId="1556"/>
    <cellStyle name="Comma 3 5" xfId="1608"/>
    <cellStyle name="Comma 4" xfId="654"/>
    <cellStyle name="Comma 4 2" xfId="655"/>
    <cellStyle name="Comma 4 2 2" xfId="656"/>
    <cellStyle name="Comma 4 2 2 2" xfId="657"/>
    <cellStyle name="Comma 4 2 3" xfId="658"/>
    <cellStyle name="Comma 4 2 4" xfId="1611"/>
    <cellStyle name="Comma 4 3" xfId="659"/>
    <cellStyle name="Comma 4 4" xfId="660"/>
    <cellStyle name="Comma 4 4 2" xfId="661"/>
    <cellStyle name="Comma 4 4 3" xfId="1566"/>
    <cellStyle name="Comma 5" xfId="662"/>
    <cellStyle name="Comma 5 2" xfId="663"/>
    <cellStyle name="Comma 5 2 2" xfId="664"/>
    <cellStyle name="Comma 5 2 2 2" xfId="665"/>
    <cellStyle name="Comma 5 2 2 2 2" xfId="666"/>
    <cellStyle name="Comma 5 2 2 2 2 2" xfId="667"/>
    <cellStyle name="Comma 5 2 2 2 2 2 2" xfId="668"/>
    <cellStyle name="Comma 5 2 2 2 2 3" xfId="669"/>
    <cellStyle name="Comma 5 2 2 2 3" xfId="670"/>
    <cellStyle name="Comma 5 2 2 2 3 2" xfId="671"/>
    <cellStyle name="Comma 5 2 2 2 3 2 2" xfId="672"/>
    <cellStyle name="Comma 5 2 2 2 3 3" xfId="673"/>
    <cellStyle name="Comma 5 2 2 2 4" xfId="674"/>
    <cellStyle name="Comma 5 2 2 2 4 2" xfId="675"/>
    <cellStyle name="Comma 5 2 2 2 5" xfId="676"/>
    <cellStyle name="Comma 5 2 2 3" xfId="677"/>
    <cellStyle name="Comma 5 2 2 3 2" xfId="678"/>
    <cellStyle name="Comma 5 2 2 3 2 2" xfId="679"/>
    <cellStyle name="Comma 5 2 2 3 3" xfId="680"/>
    <cellStyle name="Comma 5 2 2 4" xfId="681"/>
    <cellStyle name="Comma 5 2 2 4 2" xfId="682"/>
    <cellStyle name="Comma 5 2 2 4 2 2" xfId="683"/>
    <cellStyle name="Comma 5 2 2 4 3" xfId="684"/>
    <cellStyle name="Comma 5 2 2 5" xfId="685"/>
    <cellStyle name="Comma 5 2 2 5 2" xfId="686"/>
    <cellStyle name="Comma 5 2 2 6" xfId="687"/>
    <cellStyle name="Comma 5 2 3" xfId="688"/>
    <cellStyle name="Comma 5 2 3 2" xfId="689"/>
    <cellStyle name="Comma 5 2 3 2 2" xfId="690"/>
    <cellStyle name="Comma 5 2 3 2 2 2" xfId="691"/>
    <cellStyle name="Comma 5 2 3 2 3" xfId="692"/>
    <cellStyle name="Comma 5 2 3 3" xfId="693"/>
    <cellStyle name="Comma 5 2 3 3 2" xfId="694"/>
    <cellStyle name="Comma 5 2 3 3 2 2" xfId="695"/>
    <cellStyle name="Comma 5 2 3 3 3" xfId="696"/>
    <cellStyle name="Comma 5 2 3 4" xfId="697"/>
    <cellStyle name="Comma 5 2 3 4 2" xfId="698"/>
    <cellStyle name="Comma 5 2 3 5" xfId="699"/>
    <cellStyle name="Comma 5 2 4" xfId="700"/>
    <cellStyle name="Comma 5 2 4 2" xfId="701"/>
    <cellStyle name="Comma 5 2 4 2 2" xfId="702"/>
    <cellStyle name="Comma 5 2 4 3" xfId="703"/>
    <cellStyle name="Comma 5 2 5" xfId="704"/>
    <cellStyle name="Comma 5 2 5 2" xfId="705"/>
    <cellStyle name="Comma 5 2 5 2 2" xfId="706"/>
    <cellStyle name="Comma 5 2 5 3" xfId="707"/>
    <cellStyle name="Comma 5 2 6" xfId="708"/>
    <cellStyle name="Comma 5 2 6 2" xfId="709"/>
    <cellStyle name="Comma 5 2 7" xfId="710"/>
    <cellStyle name="Comma 5 3" xfId="711"/>
    <cellStyle name="Comma 5 3 2" xfId="712"/>
    <cellStyle name="Comma 5 3 2 2" xfId="713"/>
    <cellStyle name="Comma 5 3 2 2 2" xfId="714"/>
    <cellStyle name="Comma 5 3 2 2 2 2" xfId="715"/>
    <cellStyle name="Comma 5 3 2 2 3" xfId="716"/>
    <cellStyle name="Comma 5 3 2 3" xfId="717"/>
    <cellStyle name="Comma 5 3 2 3 2" xfId="718"/>
    <cellStyle name="Comma 5 3 2 3 2 2" xfId="719"/>
    <cellStyle name="Comma 5 3 2 3 3" xfId="720"/>
    <cellStyle name="Comma 5 3 2 4" xfId="721"/>
    <cellStyle name="Comma 5 3 2 4 2" xfId="722"/>
    <cellStyle name="Comma 5 3 2 5" xfId="723"/>
    <cellStyle name="Comma 5 3 3" xfId="724"/>
    <cellStyle name="Comma 5 3 3 2" xfId="725"/>
    <cellStyle name="Comma 5 3 3 2 2" xfId="726"/>
    <cellStyle name="Comma 5 3 3 3" xfId="727"/>
    <cellStyle name="Comma 5 3 4" xfId="728"/>
    <cellStyle name="Comma 5 3 4 2" xfId="729"/>
    <cellStyle name="Comma 5 3 4 2 2" xfId="730"/>
    <cellStyle name="Comma 5 3 4 3" xfId="731"/>
    <cellStyle name="Comma 5 3 5" xfId="732"/>
    <cellStyle name="Comma 5 3 5 2" xfId="733"/>
    <cellStyle name="Comma 5 3 6" xfId="734"/>
    <cellStyle name="Comma 5 4" xfId="735"/>
    <cellStyle name="Comma 5 4 2" xfId="736"/>
    <cellStyle name="Comma 5 4 2 2" xfId="737"/>
    <cellStyle name="Comma 5 4 2 2 2" xfId="738"/>
    <cellStyle name="Comma 5 4 2 2 2 2" xfId="739"/>
    <cellStyle name="Comma 5 4 2 2 3" xfId="740"/>
    <cellStyle name="Comma 5 4 2 3" xfId="741"/>
    <cellStyle name="Comma 5 4 2 3 2" xfId="742"/>
    <cellStyle name="Comma 5 4 2 4" xfId="743"/>
    <cellStyle name="Comma 5 4 3" xfId="744"/>
    <cellStyle name="Comma 5 4 3 2" xfId="745"/>
    <cellStyle name="Comma 5 4 3 2 2" xfId="746"/>
    <cellStyle name="Comma 5 4 3 3" xfId="747"/>
    <cellStyle name="Comma 5 4 4" xfId="748"/>
    <cellStyle name="Comma 5 4 4 2" xfId="749"/>
    <cellStyle name="Comma 5 4 5" xfId="750"/>
    <cellStyle name="Comma 5 5" xfId="751"/>
    <cellStyle name="Comma 5 5 2" xfId="752"/>
    <cellStyle name="Comma 5 5 2 2" xfId="753"/>
    <cellStyle name="Comma 5 5 3" xfId="754"/>
    <cellStyle name="Comma 5 6" xfId="755"/>
    <cellStyle name="Comma 5 6 2" xfId="756"/>
    <cellStyle name="Comma 5 6 2 2" xfId="757"/>
    <cellStyle name="Comma 5 6 3" xfId="758"/>
    <cellStyle name="Comma 5 7" xfId="759"/>
    <cellStyle name="Comma 5 7 2" xfId="1567"/>
    <cellStyle name="Comma 5 7 3" xfId="1475"/>
    <cellStyle name="Comma 6" xfId="760"/>
    <cellStyle name="Comma 6 2" xfId="761"/>
    <cellStyle name="Comma 6 2 2" xfId="762"/>
    <cellStyle name="Comma 6 2 2 2" xfId="763"/>
    <cellStyle name="Comma 6 2 2 2 2" xfId="764"/>
    <cellStyle name="Comma 6 2 2 2 2 2" xfId="765"/>
    <cellStyle name="Comma 6 2 2 2 2 2 2" xfId="766"/>
    <cellStyle name="Comma 6 2 2 2 2 3" xfId="767"/>
    <cellStyle name="Comma 6 2 2 2 3" xfId="768"/>
    <cellStyle name="Comma 6 2 2 2 3 2" xfId="769"/>
    <cellStyle name="Comma 6 2 2 2 4" xfId="770"/>
    <cellStyle name="Comma 6 2 2 3" xfId="771"/>
    <cellStyle name="Comma 6 2 2 3 2" xfId="772"/>
    <cellStyle name="Comma 6 2 2 3 2 2" xfId="773"/>
    <cellStyle name="Comma 6 2 2 3 3" xfId="774"/>
    <cellStyle name="Comma 6 2 2 4" xfId="775"/>
    <cellStyle name="Comma 6 2 2 4 2" xfId="776"/>
    <cellStyle name="Comma 6 2 2 5" xfId="777"/>
    <cellStyle name="Comma 6 2 3" xfId="778"/>
    <cellStyle name="Comma 6 2 3 2" xfId="779"/>
    <cellStyle name="Comma 6 2 3 2 2" xfId="780"/>
    <cellStyle name="Comma 6 2 3 2 2 2" xfId="781"/>
    <cellStyle name="Comma 6 2 3 2 3" xfId="782"/>
    <cellStyle name="Comma 6 2 3 3" xfId="783"/>
    <cellStyle name="Comma 6 2 3 3 2" xfId="784"/>
    <cellStyle name="Comma 6 2 3 4" xfId="785"/>
    <cellStyle name="Comma 6 2 4" xfId="786"/>
    <cellStyle name="Comma 6 2 4 2" xfId="787"/>
    <cellStyle name="Comma 6 2 4 2 2" xfId="788"/>
    <cellStyle name="Comma 6 2 4 3" xfId="789"/>
    <cellStyle name="Comma 6 2 5" xfId="790"/>
    <cellStyle name="Comma 6 2 5 2" xfId="791"/>
    <cellStyle name="Comma 6 2 6" xfId="792"/>
    <cellStyle name="Comma 6 2 7" xfId="1492"/>
    <cellStyle name="Comma 6 3" xfId="793"/>
    <cellStyle name="Comma 6 3 2" xfId="794"/>
    <cellStyle name="Comma 6 3 2 2" xfId="795"/>
    <cellStyle name="Comma 6 3 2 2 2" xfId="796"/>
    <cellStyle name="Comma 6 3 2 2 2 2" xfId="797"/>
    <cellStyle name="Comma 6 3 2 2 3" xfId="798"/>
    <cellStyle name="Comma 6 3 2 3" xfId="799"/>
    <cellStyle name="Comma 6 3 2 3 2" xfId="800"/>
    <cellStyle name="Comma 6 3 2 4" xfId="801"/>
    <cellStyle name="Comma 6 3 3" xfId="802"/>
    <cellStyle name="Comma 6 3 3 2" xfId="803"/>
    <cellStyle name="Comma 6 3 3 2 2" xfId="804"/>
    <cellStyle name="Comma 6 3 3 3" xfId="805"/>
    <cellStyle name="Comma 6 3 4" xfId="806"/>
    <cellStyle name="Comma 6 3 4 2" xfId="807"/>
    <cellStyle name="Comma 6 3 5" xfId="808"/>
    <cellStyle name="Comma 6 4" xfId="809"/>
    <cellStyle name="Comma 6 4 2" xfId="810"/>
    <cellStyle name="Comma 6 4 2 2" xfId="811"/>
    <cellStyle name="Comma 6 4 2 2 2" xfId="812"/>
    <cellStyle name="Comma 6 4 2 3" xfId="813"/>
    <cellStyle name="Comma 6 4 3" xfId="814"/>
    <cellStyle name="Comma 6 4 3 2" xfId="815"/>
    <cellStyle name="Comma 6 4 4" xfId="816"/>
    <cellStyle name="Comma 6 5" xfId="817"/>
    <cellStyle name="Comma 6 5 2" xfId="818"/>
    <cellStyle name="Comma 6 5 2 2" xfId="819"/>
    <cellStyle name="Comma 6 5 3" xfId="820"/>
    <cellStyle name="Comma 6 6" xfId="821"/>
    <cellStyle name="Comma 6 6 2" xfId="822"/>
    <cellStyle name="Comma 6 7" xfId="823"/>
    <cellStyle name="Comma 6 8" xfId="1514"/>
    <cellStyle name="Comma 7" xfId="824"/>
    <cellStyle name="Comma 7 2" xfId="825"/>
    <cellStyle name="Comma 8" xfId="826"/>
    <cellStyle name="Comma 8 2" xfId="827"/>
    <cellStyle name="Comma 8 2 2" xfId="828"/>
    <cellStyle name="Comma 8 2 2 2" xfId="1568"/>
    <cellStyle name="Comma 8 2 2 3" xfId="1471"/>
    <cellStyle name="Comma 8 3" xfId="829"/>
    <cellStyle name="Comma 8 3 2" xfId="830"/>
    <cellStyle name="Comma 8 3 2 2" xfId="831"/>
    <cellStyle name="Comma 8 3 3" xfId="832"/>
    <cellStyle name="Comma 8 4" xfId="833"/>
    <cellStyle name="Comma 8 4 2" xfId="834"/>
    <cellStyle name="Comma 8 5" xfId="835"/>
    <cellStyle name="Comma 9" xfId="836"/>
    <cellStyle name="Comma 9 2" xfId="1485"/>
    <cellStyle name="Comma0" xfId="1612"/>
    <cellStyle name="Comma0 2" xfId="1613"/>
    <cellStyle name="Comma0 3" xfId="1614"/>
    <cellStyle name="Comma0 4" xfId="1615"/>
    <cellStyle name="Comma0 5" xfId="1616"/>
    <cellStyle name="Comma0 6" xfId="1617"/>
    <cellStyle name="Currency 2" xfId="837"/>
    <cellStyle name="Currency 2 2" xfId="838"/>
    <cellStyle name="Currency 2 2 2" xfId="839"/>
    <cellStyle name="Currency 2 2 2 2" xfId="840"/>
    <cellStyle name="Currency 2 2 3" xfId="841"/>
    <cellStyle name="Currency 2 2 3 2" xfId="842"/>
    <cellStyle name="Currency 2 2 3 2 2" xfId="843"/>
    <cellStyle name="Currency 2 2 3 2 2 2" xfId="844"/>
    <cellStyle name="Currency 2 2 3 2 3" xfId="845"/>
    <cellStyle name="Currency 2 2 3 3" xfId="846"/>
    <cellStyle name="Currency 2 2 3 3 2" xfId="847"/>
    <cellStyle name="Currency 2 2 3 4" xfId="848"/>
    <cellStyle name="Currency 2 2 4" xfId="849"/>
    <cellStyle name="Currency 2 2 4 2" xfId="850"/>
    <cellStyle name="Currency 2 2 4 2 2" xfId="851"/>
    <cellStyle name="Currency 2 2 4 2 2 2" xfId="852"/>
    <cellStyle name="Currency 2 2 4 2 3" xfId="853"/>
    <cellStyle name="Currency 2 2 4 3" xfId="854"/>
    <cellStyle name="Currency 2 2 4 3 2" xfId="855"/>
    <cellStyle name="Currency 2 2 4 4" xfId="856"/>
    <cellStyle name="Currency 2 2 5" xfId="857"/>
    <cellStyle name="Currency 2 2 6" xfId="1619"/>
    <cellStyle name="Currency 2 3" xfId="858"/>
    <cellStyle name="Currency 2 4" xfId="1618"/>
    <cellStyle name="Currency 3" xfId="859"/>
    <cellStyle name="Currency 3 2" xfId="860"/>
    <cellStyle name="Currency 3 2 2" xfId="1466"/>
    <cellStyle name="Currency 3 2 2 2" xfId="1620"/>
    <cellStyle name="Currency 3 3" xfId="861"/>
    <cellStyle name="Currency 4" xfId="862"/>
    <cellStyle name="Currency 4 2" xfId="863"/>
    <cellStyle name="Currency 4 3" xfId="1621"/>
    <cellStyle name="Currency 5" xfId="864"/>
    <cellStyle name="Currency 5 2" xfId="865"/>
    <cellStyle name="Currency 5 3" xfId="1622"/>
    <cellStyle name="Currency 6" xfId="866"/>
    <cellStyle name="Currency 7" xfId="867"/>
    <cellStyle name="Currency 7 2" xfId="868"/>
    <cellStyle name="Currency 7 3" xfId="1623"/>
    <cellStyle name="Currency0" xfId="1624"/>
    <cellStyle name="Currency0 2" xfId="1625"/>
    <cellStyle name="Currency0 3" xfId="1626"/>
    <cellStyle name="Currency0 4" xfId="1627"/>
    <cellStyle name="Currency0 5" xfId="1628"/>
    <cellStyle name="Currency0 6" xfId="1629"/>
    <cellStyle name="Date" xfId="1630"/>
    <cellStyle name="Date ()" xfId="1631"/>
    <cellStyle name="Date 2" xfId="1632"/>
    <cellStyle name="Date 3" xfId="1633"/>
    <cellStyle name="Date 4" xfId="1634"/>
    <cellStyle name="Date 5" xfId="1635"/>
    <cellStyle name="Date 6" xfId="1636"/>
    <cellStyle name="Date_new_Quarterly_Contribs_2005" xfId="1637"/>
    <cellStyle name="Excel Built-in Comma" xfId="1638"/>
    <cellStyle name="Excel Built-in Normal" xfId="1639"/>
    <cellStyle name="Excel Built-in Percent" xfId="1640"/>
    <cellStyle name="Explanatory Text" xfId="1437" builtinId="53" customBuiltin="1"/>
    <cellStyle name="Explanatory Text 2" xfId="1518"/>
    <cellStyle name="Explanatory Text 2 2" xfId="1641"/>
    <cellStyle name="Explanatory Text 3" xfId="1543"/>
    <cellStyle name="Fixed" xfId="1642"/>
    <cellStyle name="Fixed 2" xfId="1643"/>
    <cellStyle name="Fixed 3" xfId="1644"/>
    <cellStyle name="Fixed 4" xfId="1645"/>
    <cellStyle name="Fixed 5" xfId="1646"/>
    <cellStyle name="Fixed 6" xfId="1647"/>
    <cellStyle name="Good" xfId="1428" builtinId="26" customBuiltin="1"/>
    <cellStyle name="Good 2" xfId="1467"/>
    <cellStyle name="Good 2 2" xfId="1648"/>
    <cellStyle name="Good 3" xfId="1535"/>
    <cellStyle name="Header" xfId="1501"/>
    <cellStyle name="Header 2" xfId="1650"/>
    <cellStyle name="Header 3" xfId="1651"/>
    <cellStyle name="Header 4" xfId="1652"/>
    <cellStyle name="Header 5" xfId="1653"/>
    <cellStyle name="Header 6" xfId="1654"/>
    <cellStyle name="Header 7" xfId="1649"/>
    <cellStyle name="Heading" xfId="1655"/>
    <cellStyle name="Heading 1" xfId="1424" builtinId="16" customBuiltin="1"/>
    <cellStyle name="Heading 1 2" xfId="1478"/>
    <cellStyle name="Heading 1 2 2" xfId="1656"/>
    <cellStyle name="Heading 1 3" xfId="1537"/>
    <cellStyle name="Heading 2" xfId="1425" builtinId="17" customBuiltin="1"/>
    <cellStyle name="Heading 2 2" xfId="1509"/>
    <cellStyle name="Heading 2 2 2" xfId="1657"/>
    <cellStyle name="Heading 2 3" xfId="1490"/>
    <cellStyle name="Heading 3" xfId="1426" builtinId="18" customBuiltin="1"/>
    <cellStyle name="Heading 3 2" xfId="1498"/>
    <cellStyle name="Heading 3 2 2" xfId="1658"/>
    <cellStyle name="Heading 3 3" xfId="1563"/>
    <cellStyle name="Heading 4" xfId="1427" builtinId="19" customBuiltin="1"/>
    <cellStyle name="Heading 4 2" xfId="1464"/>
    <cellStyle name="Heading 4 2 2" xfId="1659"/>
    <cellStyle name="Heading 4 3" xfId="1530"/>
    <cellStyle name="Hyperlink 2" xfId="869"/>
    <cellStyle name="Hyperlink 2 2" xfId="1660"/>
    <cellStyle name="Hyperlink 3" xfId="870"/>
    <cellStyle name="Hyperlink 4" xfId="871"/>
    <cellStyle name="Input" xfId="1431" builtinId="20" customBuiltin="1"/>
    <cellStyle name="Input 2" xfId="1547"/>
    <cellStyle name="Input 2 2" xfId="1661"/>
    <cellStyle name="Input 3" xfId="1533"/>
    <cellStyle name="Input 4" xfId="1512"/>
    <cellStyle name="label" xfId="1662"/>
    <cellStyle name="Linked Cell" xfId="1434" builtinId="24" customBuiltin="1"/>
    <cellStyle name="Linked Cell 2" xfId="1474"/>
    <cellStyle name="Linked Cell 2 2" xfId="1663"/>
    <cellStyle name="Linked Cell 3" xfId="1521"/>
    <cellStyle name="Neutral" xfId="1430" builtinId="28" customBuiltin="1"/>
    <cellStyle name="Neutral 2" xfId="1507"/>
    <cellStyle name="Neutral 2 2" xfId="1664"/>
    <cellStyle name="Neutral 3" xfId="1538"/>
    <cellStyle name="No Border" xfId="1665"/>
    <cellStyle name="no dec" xfId="1666"/>
    <cellStyle name="Normal" xfId="0" builtinId="0"/>
    <cellStyle name="Normal 10" xfId="872"/>
    <cellStyle name="Normal 10 2" xfId="1667"/>
    <cellStyle name="Normal 11" xfId="873"/>
    <cellStyle name="Normal 11 2" xfId="874"/>
    <cellStyle name="Normal 11 3" xfId="1668"/>
    <cellStyle name="Normal 12" xfId="875"/>
    <cellStyle name="Normal 12 2" xfId="876"/>
    <cellStyle name="Normal 12 2 2" xfId="877"/>
    <cellStyle name="Normal 12 2 2 2" xfId="878"/>
    <cellStyle name="Normal 12 2 3" xfId="879"/>
    <cellStyle name="Normal 12 3" xfId="1669"/>
    <cellStyle name="Normal 13" xfId="880"/>
    <cellStyle name="Normal 13 2" xfId="881"/>
    <cellStyle name="Normal 13 2 2" xfId="882"/>
    <cellStyle name="Normal 13 2 2 2" xfId="883"/>
    <cellStyle name="Normal 13 2 3" xfId="884"/>
    <cellStyle name="Normal 13 3" xfId="885"/>
    <cellStyle name="Normal 13 3 2" xfId="886"/>
    <cellStyle name="Normal 13 4" xfId="887"/>
    <cellStyle name="Normal 13 5" xfId="1670"/>
    <cellStyle name="Normal 14" xfId="888"/>
    <cellStyle name="Normal 14 2" xfId="889"/>
    <cellStyle name="Normal 14 3" xfId="1671"/>
    <cellStyle name="Normal 15" xfId="890"/>
    <cellStyle name="Normal 15 2" xfId="891"/>
    <cellStyle name="Normal 15 3" xfId="1672"/>
    <cellStyle name="Normal 16" xfId="892"/>
    <cellStyle name="Normal 16 2" xfId="893"/>
    <cellStyle name="Normal 16 3" xfId="1673"/>
    <cellStyle name="Normal 17" xfId="894"/>
    <cellStyle name="Normal 17 2" xfId="1463"/>
    <cellStyle name="Normal 17 3" xfId="1674"/>
    <cellStyle name="Normal 18" xfId="1675"/>
    <cellStyle name="Normal 19" xfId="1676"/>
    <cellStyle name="Normal 2" xfId="895"/>
    <cellStyle name="Normal 2 10" xfId="896"/>
    <cellStyle name="Normal 2 10 2" xfId="897"/>
    <cellStyle name="Normal 2 10 2 2" xfId="898"/>
    <cellStyle name="Normal 2 10 3" xfId="899"/>
    <cellStyle name="Normal 2 11" xfId="900"/>
    <cellStyle name="Normal 2 12" xfId="1573"/>
    <cellStyle name="Normal 2 2" xfId="901"/>
    <cellStyle name="Normal 2 2 2" xfId="902"/>
    <cellStyle name="Normal 2 2 2 2" xfId="903"/>
    <cellStyle name="Normal 2 2 2 2 2" xfId="904"/>
    <cellStyle name="Normal 2 2 3" xfId="905"/>
    <cellStyle name="Normal 2 2 4" xfId="906"/>
    <cellStyle name="Normal 2 2 4 2" xfId="907"/>
    <cellStyle name="Normal 2 2 4 3" xfId="1569"/>
    <cellStyle name="Normal 2 2 5" xfId="1677"/>
    <cellStyle name="Normal 2 3" xfId="908"/>
    <cellStyle name="Normal 2 3 2" xfId="909"/>
    <cellStyle name="Normal 2 3 2 2" xfId="910"/>
    <cellStyle name="Normal 2 3 2 2 2" xfId="911"/>
    <cellStyle name="Normal 2 3 2 2 2 2" xfId="912"/>
    <cellStyle name="Normal 2 3 2 2 2 2 2" xfId="913"/>
    <cellStyle name="Normal 2 3 2 2 2 3" xfId="914"/>
    <cellStyle name="Normal 2 3 2 2 3" xfId="915"/>
    <cellStyle name="Normal 2 3 2 2 3 2" xfId="916"/>
    <cellStyle name="Normal 2 3 2 2 3 2 2" xfId="917"/>
    <cellStyle name="Normal 2 3 2 2 3 3" xfId="918"/>
    <cellStyle name="Normal 2 3 2 2 4" xfId="919"/>
    <cellStyle name="Normal 2 3 2 2 4 2" xfId="920"/>
    <cellStyle name="Normal 2 3 2 2 5" xfId="921"/>
    <cellStyle name="Normal 2 3 2 3" xfId="922"/>
    <cellStyle name="Normal 2 3 2 3 2" xfId="923"/>
    <cellStyle name="Normal 2 3 2 3 2 2" xfId="924"/>
    <cellStyle name="Normal 2 3 2 3 3" xfId="925"/>
    <cellStyle name="Normal 2 3 2 4" xfId="926"/>
    <cellStyle name="Normal 2 3 2 4 2" xfId="927"/>
    <cellStyle name="Normal 2 3 2 4 2 2" xfId="928"/>
    <cellStyle name="Normal 2 3 2 4 3" xfId="929"/>
    <cellStyle name="Normal 2 3 2 5" xfId="930"/>
    <cellStyle name="Normal 2 3 2 5 2" xfId="931"/>
    <cellStyle name="Normal 2 3 2 6" xfId="932"/>
    <cellStyle name="Normal 2 3 2 7" xfId="1483"/>
    <cellStyle name="Normal 2 3 2 8" xfId="1678"/>
    <cellStyle name="Normal 2 3 3" xfId="933"/>
    <cellStyle name="Normal 2 3 3 2" xfId="934"/>
    <cellStyle name="Normal 2 3 3 2 2" xfId="935"/>
    <cellStyle name="Normal 2 3 3 2 2 2" xfId="936"/>
    <cellStyle name="Normal 2 3 3 2 2 2 2" xfId="937"/>
    <cellStyle name="Normal 2 3 3 2 2 3" xfId="938"/>
    <cellStyle name="Normal 2 3 3 2 3" xfId="939"/>
    <cellStyle name="Normal 2 3 3 2 3 2" xfId="940"/>
    <cellStyle name="Normal 2 3 3 2 4" xfId="941"/>
    <cellStyle name="Normal 2 3 3 3" xfId="942"/>
    <cellStyle name="Normal 2 3 3 3 2" xfId="943"/>
    <cellStyle name="Normal 2 3 3 3 2 2" xfId="944"/>
    <cellStyle name="Normal 2 3 3 3 3" xfId="945"/>
    <cellStyle name="Normal 2 3 3 4" xfId="946"/>
    <cellStyle name="Normal 2 3 3 4 2" xfId="947"/>
    <cellStyle name="Normal 2 3 3 5" xfId="948"/>
    <cellStyle name="Normal 2 3 4" xfId="949"/>
    <cellStyle name="Normal 2 3 4 2" xfId="950"/>
    <cellStyle name="Normal 2 3 4 2 2" xfId="951"/>
    <cellStyle name="Normal 2 3 4 3" xfId="952"/>
    <cellStyle name="Normal 2 3 5" xfId="953"/>
    <cellStyle name="Normal 2 3 5 2" xfId="954"/>
    <cellStyle name="Normal 2 3 5 2 2" xfId="955"/>
    <cellStyle name="Normal 2 3 5 3" xfId="956"/>
    <cellStyle name="Normal 2 3 6" xfId="957"/>
    <cellStyle name="Normal 2 3 6 2" xfId="958"/>
    <cellStyle name="Normal 2 3 6 2 2" xfId="959"/>
    <cellStyle name="Normal 2 3 6 3" xfId="960"/>
    <cellStyle name="Normal 2 3 7" xfId="1510"/>
    <cellStyle name="Normal 2 4" xfId="961"/>
    <cellStyle name="Normal 2 4 2" xfId="962"/>
    <cellStyle name="Normal 2 4 2 2" xfId="963"/>
    <cellStyle name="Normal 2 4 2 2 2" xfId="964"/>
    <cellStyle name="Normal 2 4 2 2 2 2" xfId="965"/>
    <cellStyle name="Normal 2 4 2 2 3" xfId="966"/>
    <cellStyle name="Normal 2 4 2 3" xfId="967"/>
    <cellStyle name="Normal 2 4 2 3 2" xfId="968"/>
    <cellStyle name="Normal 2 4 2 4" xfId="969"/>
    <cellStyle name="Normal 2 4 2 4 2" xfId="970"/>
    <cellStyle name="Normal 2 4 2 5" xfId="971"/>
    <cellStyle name="Normal 2 4 3" xfId="972"/>
    <cellStyle name="Normal 2 4 3 2" xfId="973"/>
    <cellStyle name="Normal 2 4 4" xfId="974"/>
    <cellStyle name="Normal 2 4 4 2" xfId="975"/>
    <cellStyle name="Normal 2 4 4 2 2" xfId="976"/>
    <cellStyle name="Normal 2 4 4 3" xfId="977"/>
    <cellStyle name="Normal 2 4 5" xfId="978"/>
    <cellStyle name="Normal 2 4 5 2" xfId="979"/>
    <cellStyle name="Normal 2 4 5 2 2" xfId="980"/>
    <cellStyle name="Normal 2 4 5 3" xfId="981"/>
    <cellStyle name="Normal 2 4 6" xfId="982"/>
    <cellStyle name="Normal 2 4 6 2" xfId="983"/>
    <cellStyle name="Normal 2 4 7" xfId="984"/>
    <cellStyle name="Normal 2 5" xfId="985"/>
    <cellStyle name="Normal 2 5 2" xfId="986"/>
    <cellStyle name="Normal 2 5 2 2" xfId="987"/>
    <cellStyle name="Normal 2 5 2 2 2" xfId="988"/>
    <cellStyle name="Normal 2 5 2 2 2 2" xfId="989"/>
    <cellStyle name="Normal 2 5 2 2 2 2 2" xfId="990"/>
    <cellStyle name="Normal 2 5 2 2 2 3" xfId="991"/>
    <cellStyle name="Normal 2 5 2 2 3" xfId="992"/>
    <cellStyle name="Normal 2 5 2 2 3 2" xfId="993"/>
    <cellStyle name="Normal 2 5 2 2 4" xfId="994"/>
    <cellStyle name="Normal 2 5 2 3" xfId="995"/>
    <cellStyle name="Normal 2 5 2 3 2" xfId="996"/>
    <cellStyle name="Normal 2 5 2 3 2 2" xfId="997"/>
    <cellStyle name="Normal 2 5 2 3 3" xfId="998"/>
    <cellStyle name="Normal 2 5 2 4" xfId="999"/>
    <cellStyle name="Normal 2 5 2 4 2" xfId="1000"/>
    <cellStyle name="Normal 2 5 2 5" xfId="1001"/>
    <cellStyle name="Normal 2 5 3" xfId="1002"/>
    <cellStyle name="Normal 2 5 3 2" xfId="1003"/>
    <cellStyle name="Normal 2 5 3 2 2" xfId="1004"/>
    <cellStyle name="Normal 2 5 3 3" xfId="1005"/>
    <cellStyle name="Normal 2 5 4" xfId="1006"/>
    <cellStyle name="Normal 2 5 4 2" xfId="1007"/>
    <cellStyle name="Normal 2 5 4 2 2" xfId="1008"/>
    <cellStyle name="Normal 2 5 4 3" xfId="1009"/>
    <cellStyle name="Normal 2 6" xfId="1010"/>
    <cellStyle name="Normal 2 6 2" xfId="1011"/>
    <cellStyle name="Normal 2 6 2 2" xfId="1012"/>
    <cellStyle name="Normal 2 6 2 2 2" xfId="1013"/>
    <cellStyle name="Normal 2 6 2 3" xfId="1014"/>
    <cellStyle name="Normal 2 6 3" xfId="1015"/>
    <cellStyle name="Normal 2 6 3 2" xfId="1016"/>
    <cellStyle name="Normal 2 6 3 2 2" xfId="1017"/>
    <cellStyle name="Normal 2 6 3 3" xfId="1018"/>
    <cellStyle name="Normal 2 7" xfId="1019"/>
    <cellStyle name="Normal 2 7 2" xfId="1020"/>
    <cellStyle name="Normal 2 7 2 2" xfId="1021"/>
    <cellStyle name="Normal 2 7 2 2 2" xfId="1022"/>
    <cellStyle name="Normal 2 7 2 3" xfId="1023"/>
    <cellStyle name="Normal 2 7 3" xfId="1024"/>
    <cellStyle name="Normal 2 8" xfId="1025"/>
    <cellStyle name="Normal 2 8 2" xfId="1026"/>
    <cellStyle name="Normal 2 8 2 2" xfId="1027"/>
    <cellStyle name="Normal 2 8 2 2 2" xfId="1028"/>
    <cellStyle name="Normal 2 8 2 3" xfId="1029"/>
    <cellStyle name="Normal 2 9" xfId="1030"/>
    <cellStyle name="Normal 2 9 2" xfId="1031"/>
    <cellStyle name="Normal 2 9 2 2" xfId="1032"/>
    <cellStyle name="Normal 2 9 2 2 2" xfId="1033"/>
    <cellStyle name="Normal 2 9 2 3" xfId="1034"/>
    <cellStyle name="Normal 2 9 3" xfId="1035"/>
    <cellStyle name="Normal 2 9 3 2" xfId="1036"/>
    <cellStyle name="Normal 2 9 4" xfId="1037"/>
    <cellStyle name="Normal 20" xfId="1679"/>
    <cellStyle name="Normal 21" xfId="1680"/>
    <cellStyle name="Normal 22" xfId="1681"/>
    <cellStyle name="Normal 23" xfId="1682"/>
    <cellStyle name="Normal 24" xfId="1683"/>
    <cellStyle name="Normal 25" xfId="1684"/>
    <cellStyle name="Normal 26" xfId="1685"/>
    <cellStyle name="Normal 27" xfId="1686"/>
    <cellStyle name="Normal 28" xfId="1687"/>
    <cellStyle name="Normal 29" xfId="1688"/>
    <cellStyle name="Normal 3" xfId="1038"/>
    <cellStyle name="Normal 3 2" xfId="1039"/>
    <cellStyle name="Normal 3 2 2" xfId="1542"/>
    <cellStyle name="Normal 3 2 3" xfId="1494"/>
    <cellStyle name="Normal 3 2 4" xfId="1529"/>
    <cellStyle name="Normal 3 3" xfId="1040"/>
    <cellStyle name="Normal 3 3 2" xfId="1557"/>
    <cellStyle name="Normal 3 4" xfId="1041"/>
    <cellStyle name="Normal 3 4 2" xfId="1042"/>
    <cellStyle name="Normal 3 4 2 2" xfId="1043"/>
    <cellStyle name="Normal 3 4 3" xfId="1044"/>
    <cellStyle name="Normal 3 4 4" xfId="1689"/>
    <cellStyle name="Normal 3 5" xfId="1045"/>
    <cellStyle name="Normal 3 5 2" xfId="1046"/>
    <cellStyle name="Normal 3 5 2 2" xfId="1572"/>
    <cellStyle name="Normal 3 5 2 3" xfId="1500"/>
    <cellStyle name="Normal 3 5 3" xfId="1570"/>
    <cellStyle name="Normal 3_boca2010val" xfId="1690"/>
    <cellStyle name="Normal 30" xfId="1691"/>
    <cellStyle name="Normal 31" xfId="1692"/>
    <cellStyle name="Normal 32" xfId="1693"/>
    <cellStyle name="Normal 33" xfId="1694"/>
    <cellStyle name="Normal 34" xfId="1695"/>
    <cellStyle name="Normal 35" xfId="1696"/>
    <cellStyle name="Normal 36" xfId="1697"/>
    <cellStyle name="Normal 37" xfId="1698"/>
    <cellStyle name="Normal 38" xfId="1699"/>
    <cellStyle name="Normal 39" xfId="1700"/>
    <cellStyle name="Normal 4" xfId="1047"/>
    <cellStyle name="Normal 4 2" xfId="1048"/>
    <cellStyle name="Normal 4 2 2" xfId="1049"/>
    <cellStyle name="Normal 4 2 2 2" xfId="1050"/>
    <cellStyle name="Normal 4 2 3" xfId="1051"/>
    <cellStyle name="Normal 4 2 4" xfId="1052"/>
    <cellStyle name="Normal 4 2 5" xfId="1053"/>
    <cellStyle name="Normal 4 3" xfId="1054"/>
    <cellStyle name="Normal 4 4" xfId="1055"/>
    <cellStyle name="Normal 4 5" xfId="1056"/>
    <cellStyle name="Normal 4 5 2" xfId="1505"/>
    <cellStyle name="Normal 40" xfId="1701"/>
    <cellStyle name="Normal 41" xfId="1702"/>
    <cellStyle name="Normal 42" xfId="1703"/>
    <cellStyle name="Normal 43" xfId="1704"/>
    <cellStyle name="Normal 44" xfId="1705"/>
    <cellStyle name="Normal 45" xfId="1706"/>
    <cellStyle name="Normal 46" xfId="1707"/>
    <cellStyle name="Normal 47" xfId="1708"/>
    <cellStyle name="Normal 48" xfId="1709"/>
    <cellStyle name="Normal 49" xfId="1710"/>
    <cellStyle name="Normal 5" xfId="1057"/>
    <cellStyle name="Normal 5 2" xfId="1058"/>
    <cellStyle name="Normal 5 2 2" xfId="1059"/>
    <cellStyle name="Normal 5 2 2 2" xfId="1060"/>
    <cellStyle name="Normal 5 2 2 3" xfId="1711"/>
    <cellStyle name="Normal 5 2 3" xfId="1061"/>
    <cellStyle name="Normal 5 2 3 2" xfId="1062"/>
    <cellStyle name="Normal 5 2 3 2 2" xfId="1063"/>
    <cellStyle name="Normal 5 2 3 2 2 2" xfId="1064"/>
    <cellStyle name="Normal 5 2 3 2 2 2 2" xfId="1065"/>
    <cellStyle name="Normal 5 2 3 2 2 3" xfId="1066"/>
    <cellStyle name="Normal 5 2 3 2 3" xfId="1067"/>
    <cellStyle name="Normal 5 2 3 2 3 2" xfId="1068"/>
    <cellStyle name="Normal 5 2 3 2 3 2 2" xfId="1069"/>
    <cellStyle name="Normal 5 2 3 2 3 3" xfId="1070"/>
    <cellStyle name="Normal 5 2 3 2 4" xfId="1071"/>
    <cellStyle name="Normal 5 2 3 2 4 2" xfId="1072"/>
    <cellStyle name="Normal 5 2 3 2 5" xfId="1073"/>
    <cellStyle name="Normal 5 2 3 3" xfId="1074"/>
    <cellStyle name="Normal 5 2 3 3 2" xfId="1075"/>
    <cellStyle name="Normal 5 2 3 3 2 2" xfId="1076"/>
    <cellStyle name="Normal 5 2 3 3 3" xfId="1077"/>
    <cellStyle name="Normal 5 2 3 4" xfId="1078"/>
    <cellStyle name="Normal 5 2 3 4 2" xfId="1079"/>
    <cellStyle name="Normal 5 2 3 4 2 2" xfId="1080"/>
    <cellStyle name="Normal 5 2 3 4 3" xfId="1081"/>
    <cellStyle name="Normal 5 2 3 5" xfId="1082"/>
    <cellStyle name="Normal 5 2 3 5 2" xfId="1083"/>
    <cellStyle name="Normal 5 2 3 6" xfId="1084"/>
    <cellStyle name="Normal 5 2 4" xfId="1085"/>
    <cellStyle name="Normal 5 2 4 2" xfId="1086"/>
    <cellStyle name="Normal 5 2 4 2 2" xfId="1087"/>
    <cellStyle name="Normal 5 2 4 2 2 2" xfId="1088"/>
    <cellStyle name="Normal 5 2 4 2 2 2 2" xfId="1089"/>
    <cellStyle name="Normal 5 2 4 2 2 3" xfId="1090"/>
    <cellStyle name="Normal 5 2 4 2 3" xfId="1091"/>
    <cellStyle name="Normal 5 2 4 2 3 2" xfId="1092"/>
    <cellStyle name="Normal 5 2 4 2 4" xfId="1093"/>
    <cellStyle name="Normal 5 2 4 3" xfId="1094"/>
    <cellStyle name="Normal 5 2 4 3 2" xfId="1095"/>
    <cellStyle name="Normal 5 2 4 3 2 2" xfId="1096"/>
    <cellStyle name="Normal 5 2 4 3 3" xfId="1097"/>
    <cellStyle name="Normal 5 2 4 4" xfId="1098"/>
    <cellStyle name="Normal 5 2 4 4 2" xfId="1099"/>
    <cellStyle name="Normal 5 2 4 5" xfId="1100"/>
    <cellStyle name="Normal 5 2 5" xfId="1101"/>
    <cellStyle name="Normal 5 2 5 2" xfId="1102"/>
    <cellStyle name="Normal 5 2 5 2 2" xfId="1103"/>
    <cellStyle name="Normal 5 2 5 3" xfId="1104"/>
    <cellStyle name="Normal 5 2 6" xfId="1105"/>
    <cellStyle name="Normal 5 2 6 2" xfId="1106"/>
    <cellStyle name="Normal 5 2 6 2 2" xfId="1107"/>
    <cellStyle name="Normal 5 2 6 3" xfId="1108"/>
    <cellStyle name="Normal 5 3" xfId="1109"/>
    <cellStyle name="Normal 5 3 2" xfId="1110"/>
    <cellStyle name="Normal 5 3 2 2" xfId="1111"/>
    <cellStyle name="Normal 5 3 2 2 2" xfId="1112"/>
    <cellStyle name="Normal 5 3 2 2 2 2" xfId="1113"/>
    <cellStyle name="Normal 5 3 2 2 2 2 2" xfId="1114"/>
    <cellStyle name="Normal 5 3 2 2 2 3" xfId="1115"/>
    <cellStyle name="Normal 5 3 2 2 3" xfId="1116"/>
    <cellStyle name="Normal 5 3 2 2 3 2" xfId="1117"/>
    <cellStyle name="Normal 5 3 2 2 4" xfId="1118"/>
    <cellStyle name="Normal 5 3 2 3" xfId="1119"/>
    <cellStyle name="Normal 5 3 2 3 2" xfId="1120"/>
    <cellStyle name="Normal 5 3 2 3 2 2" xfId="1121"/>
    <cellStyle name="Normal 5 3 2 3 3" xfId="1122"/>
    <cellStyle name="Normal 5 3 2 4" xfId="1123"/>
    <cellStyle name="Normal 5 3 2 4 2" xfId="1124"/>
    <cellStyle name="Normal 5 3 2 5" xfId="1125"/>
    <cellStyle name="Normal 5 3 3" xfId="1126"/>
    <cellStyle name="Normal 5 3 3 2" xfId="1127"/>
    <cellStyle name="Normal 5 3 3 2 2" xfId="1128"/>
    <cellStyle name="Normal 5 3 3 3" xfId="1129"/>
    <cellStyle name="Normal 5 3 4" xfId="1130"/>
    <cellStyle name="Normal 5 3 4 2" xfId="1131"/>
    <cellStyle name="Normal 5 3 4 2 2" xfId="1132"/>
    <cellStyle name="Normal 5 3 4 3" xfId="1133"/>
    <cellStyle name="Normal 5 4" xfId="1134"/>
    <cellStyle name="Normal 5 4 2" xfId="1135"/>
    <cellStyle name="Normal 5 4 2 2" xfId="1136"/>
    <cellStyle name="Normal 5 4 2 2 2" xfId="1137"/>
    <cellStyle name="Normal 5 4 2 2 2 2" xfId="1138"/>
    <cellStyle name="Normal 5 4 2 2 3" xfId="1139"/>
    <cellStyle name="Normal 5 4 2 3" xfId="1140"/>
    <cellStyle name="Normal 5 4 2 3 2" xfId="1141"/>
    <cellStyle name="Normal 5 4 2 4" xfId="1142"/>
    <cellStyle name="Normal 5 4 3" xfId="1143"/>
    <cellStyle name="Normal 5 4 3 2" xfId="1144"/>
    <cellStyle name="Normal 5 4 3 2 2" xfId="1145"/>
    <cellStyle name="Normal 5 4 3 3" xfId="1146"/>
    <cellStyle name="Normal 5 4 4" xfId="1147"/>
    <cellStyle name="Normal 5 4 4 2" xfId="1148"/>
    <cellStyle name="Normal 5 4 5" xfId="1149"/>
    <cellStyle name="Normal 5 4 6" xfId="1712"/>
    <cellStyle name="Normal 5 5" xfId="1150"/>
    <cellStyle name="Normal 5 5 2" xfId="1151"/>
    <cellStyle name="Normal 5 5 2 2" xfId="1152"/>
    <cellStyle name="Normal 5 5 3" xfId="1153"/>
    <cellStyle name="Normal 5 5 4" xfId="1713"/>
    <cellStyle name="Normal 5 6" xfId="1154"/>
    <cellStyle name="Normal 5 6 2" xfId="1155"/>
    <cellStyle name="Normal 5 6 2 2" xfId="1156"/>
    <cellStyle name="Normal 5 6 3" xfId="1157"/>
    <cellStyle name="Normal 50" xfId="1714"/>
    <cellStyle name="Normal 51" xfId="1715"/>
    <cellStyle name="Normal 52" xfId="1716"/>
    <cellStyle name="Normal 53" xfId="1717"/>
    <cellStyle name="Normal 54" xfId="1718"/>
    <cellStyle name="Normal 55" xfId="1719"/>
    <cellStyle name="Normal 56" xfId="1720"/>
    <cellStyle name="Normal 57" xfId="1721"/>
    <cellStyle name="Normal 58" xfId="1722"/>
    <cellStyle name="Normal 59" xfId="1723"/>
    <cellStyle name="Normal 6" xfId="1158"/>
    <cellStyle name="Normal 6 2" xfId="1159"/>
    <cellStyle name="Normal 6 2 2" xfId="1160"/>
    <cellStyle name="Normal 6 2 2 2" xfId="1725"/>
    <cellStyle name="Normal 6 2 2 3" xfId="1724"/>
    <cellStyle name="Normal 6 2 3" xfId="1161"/>
    <cellStyle name="Normal 6 2 3 2" xfId="1162"/>
    <cellStyle name="Normal 6 2 3 2 2" xfId="1163"/>
    <cellStyle name="Normal 6 2 3 3" xfId="1164"/>
    <cellStyle name="Normal 6 2 4" xfId="1165"/>
    <cellStyle name="Normal 6 2 4 2" xfId="1166"/>
    <cellStyle name="Normal 6 2 4 3" xfId="1726"/>
    <cellStyle name="Normal 6 2 5" xfId="1167"/>
    <cellStyle name="Normal 6 3" xfId="1168"/>
    <cellStyle name="Normal 6 3 2" xfId="1169"/>
    <cellStyle name="Normal 6 3 2 2" xfId="1170"/>
    <cellStyle name="Normal 6 3 2 2 2" xfId="1171"/>
    <cellStyle name="Normal 6 3 2 2 2 2" xfId="1172"/>
    <cellStyle name="Normal 6 3 2 2 3" xfId="1173"/>
    <cellStyle name="Normal 6 3 2 3" xfId="1174"/>
    <cellStyle name="Normal 6 3 2 3 2" xfId="1175"/>
    <cellStyle name="Normal 6 3 2 3 2 2" xfId="1176"/>
    <cellStyle name="Normal 6 3 2 3 3" xfId="1177"/>
    <cellStyle name="Normal 6 3 2 4" xfId="1178"/>
    <cellStyle name="Normal 6 3 2 4 2" xfId="1179"/>
    <cellStyle name="Normal 6 3 2 5" xfId="1180"/>
    <cellStyle name="Normal 6 3 3" xfId="1181"/>
    <cellStyle name="Normal 6 3 3 2" xfId="1182"/>
    <cellStyle name="Normal 6 3 3 2 2" xfId="1183"/>
    <cellStyle name="Normal 6 3 3 3" xfId="1184"/>
    <cellStyle name="Normal 6 3 4" xfId="1185"/>
    <cellStyle name="Normal 6 3 4 2" xfId="1186"/>
    <cellStyle name="Normal 6 3 4 2 2" xfId="1187"/>
    <cellStyle name="Normal 6 3 4 3" xfId="1188"/>
    <cellStyle name="Normal 6 3 5" xfId="1189"/>
    <cellStyle name="Normal 6 3 5 2" xfId="1190"/>
    <cellStyle name="Normal 6 3 6" xfId="1191"/>
    <cellStyle name="Normal 6 4" xfId="1192"/>
    <cellStyle name="Normal 6 4 2" xfId="1193"/>
    <cellStyle name="Normal 6 4 2 2" xfId="1194"/>
    <cellStyle name="Normal 6 4 2 2 2" xfId="1195"/>
    <cellStyle name="Normal 6 4 2 2 2 2" xfId="1196"/>
    <cellStyle name="Normal 6 4 2 2 3" xfId="1197"/>
    <cellStyle name="Normal 6 4 2 3" xfId="1198"/>
    <cellStyle name="Normal 6 4 2 3 2" xfId="1199"/>
    <cellStyle name="Normal 6 4 2 4" xfId="1200"/>
    <cellStyle name="Normal 6 4 3" xfId="1201"/>
    <cellStyle name="Normal 6 4 3 2" xfId="1202"/>
    <cellStyle name="Normal 6 4 3 2 2" xfId="1203"/>
    <cellStyle name="Normal 6 4 3 3" xfId="1204"/>
    <cellStyle name="Normal 6 4 4" xfId="1205"/>
    <cellStyle name="Normal 6 4 4 2" xfId="1206"/>
    <cellStyle name="Normal 6 4 5" xfId="1207"/>
    <cellStyle name="Normal 6 5" xfId="1208"/>
    <cellStyle name="Normal 6 5 2" xfId="1209"/>
    <cellStyle name="Normal 6 5 2 2" xfId="1210"/>
    <cellStyle name="Normal 6 5 2 2 2" xfId="1211"/>
    <cellStyle name="Normal 6 5 2 3" xfId="1212"/>
    <cellStyle name="Normal 6 5 3" xfId="1213"/>
    <cellStyle name="Normal 6 5 3 2" xfId="1214"/>
    <cellStyle name="Normal 6 5 4" xfId="1215"/>
    <cellStyle name="Normal 6 6" xfId="1216"/>
    <cellStyle name="Normal 6 6 2" xfId="1217"/>
    <cellStyle name="Normal 6 6 2 2" xfId="1218"/>
    <cellStyle name="Normal 6 6 3" xfId="1219"/>
    <cellStyle name="Normal 6 7" xfId="1220"/>
    <cellStyle name="Normal 6 7 2" xfId="1221"/>
    <cellStyle name="Normal 6 8" xfId="1222"/>
    <cellStyle name="Normal 60" xfId="1727"/>
    <cellStyle name="Normal 61" xfId="1728"/>
    <cellStyle name="Normal 62" xfId="1729"/>
    <cellStyle name="Normal 63" xfId="1730"/>
    <cellStyle name="Normal 64" xfId="1731"/>
    <cellStyle name="Normal 65" xfId="1732"/>
    <cellStyle name="Normal 66" xfId="1733"/>
    <cellStyle name="Normal 67" xfId="1734"/>
    <cellStyle name="Normal 68" xfId="1735"/>
    <cellStyle name="Normal 69" xfId="1736"/>
    <cellStyle name="Normal 7" xfId="1223"/>
    <cellStyle name="Normal 7 2" xfId="1224"/>
    <cellStyle name="Normal 7 2 2" xfId="1225"/>
    <cellStyle name="Normal 7 2 3" xfId="1737"/>
    <cellStyle name="Normal 7 3" xfId="1226"/>
    <cellStyle name="Normal 7 3 2" xfId="1227"/>
    <cellStyle name="Normal 7 3 2 2" xfId="1228"/>
    <cellStyle name="Normal 7 3 3" xfId="1229"/>
    <cellStyle name="Normal 7 4" xfId="1230"/>
    <cellStyle name="Normal 7 4 2" xfId="1231"/>
    <cellStyle name="Normal 7 5" xfId="1232"/>
    <cellStyle name="Normal 7 6" xfId="1531"/>
    <cellStyle name="Normal 70" xfId="1738"/>
    <cellStyle name="Normal 71" xfId="1739"/>
    <cellStyle name="Normal 72" xfId="1740"/>
    <cellStyle name="Normal 73" xfId="1741"/>
    <cellStyle name="Normal 74" xfId="1742"/>
    <cellStyle name="Normal 75" xfId="1743"/>
    <cellStyle name="Normal 76" xfId="1744"/>
    <cellStyle name="Normal 77" xfId="1745"/>
    <cellStyle name="Normal 78" xfId="1746"/>
    <cellStyle name="Normal 79" xfId="1747"/>
    <cellStyle name="Normal 8" xfId="1233"/>
    <cellStyle name="Normal 8 2" xfId="1234"/>
    <cellStyle name="Normal 8 2 2" xfId="1235"/>
    <cellStyle name="Normal 8 2 2 2" xfId="1236"/>
    <cellStyle name="Normal 8 2 2 2 2" xfId="1237"/>
    <cellStyle name="Normal 8 2 2 3" xfId="1238"/>
    <cellStyle name="Normal 8 2 3" xfId="1239"/>
    <cellStyle name="Normal 8 2 3 2" xfId="1240"/>
    <cellStyle name="Normal 8 2 3 2 2" xfId="1241"/>
    <cellStyle name="Normal 8 2 3 3" xfId="1242"/>
    <cellStyle name="Normal 8 2 4" xfId="1243"/>
    <cellStyle name="Normal 8 2 4 2" xfId="1244"/>
    <cellStyle name="Normal 8 2 5" xfId="1245"/>
    <cellStyle name="Normal 8 3" xfId="1246"/>
    <cellStyle name="Normal 8 3 2" xfId="1247"/>
    <cellStyle name="Normal 8 3 2 2" xfId="1248"/>
    <cellStyle name="Normal 8 3 3" xfId="1249"/>
    <cellStyle name="Normal 8 4" xfId="1250"/>
    <cellStyle name="Normal 8 4 2" xfId="1251"/>
    <cellStyle name="Normal 8 4 2 2" xfId="1252"/>
    <cellStyle name="Normal 8 4 3" xfId="1253"/>
    <cellStyle name="Normal 8 5" xfId="1254"/>
    <cellStyle name="Normal 8 5 2" xfId="1255"/>
    <cellStyle name="Normal 8 6" xfId="1256"/>
    <cellStyle name="Normal 80" xfId="1748"/>
    <cellStyle name="Normal 81" xfId="1749"/>
    <cellStyle name="Normal 82" xfId="1750"/>
    <cellStyle name="Normal 83" xfId="1751"/>
    <cellStyle name="Normal 84" xfId="1752"/>
    <cellStyle name="Normal 85" xfId="1753"/>
    <cellStyle name="Normal 86" xfId="1754"/>
    <cellStyle name="Normal 87" xfId="1755"/>
    <cellStyle name="Normal 9" xfId="1257"/>
    <cellStyle name="Normal 9 2" xfId="1258"/>
    <cellStyle name="Normal 9 3" xfId="1756"/>
    <cellStyle name="Note 2" xfId="1259"/>
    <cellStyle name="Note 2 2" xfId="1260"/>
    <cellStyle name="Note 2 2 2" xfId="1261"/>
    <cellStyle name="Note 2 2 2 2" xfId="1262"/>
    <cellStyle name="Note 2 2 2 2 2" xfId="1263"/>
    <cellStyle name="Note 2 2 2 2 2 2" xfId="1264"/>
    <cellStyle name="Note 2 2 2 2 3" xfId="1265"/>
    <cellStyle name="Note 2 2 2 3" xfId="1266"/>
    <cellStyle name="Note 2 2 2 3 2" xfId="1267"/>
    <cellStyle name="Note 2 2 2 3 2 2" xfId="1268"/>
    <cellStyle name="Note 2 2 2 3 3" xfId="1269"/>
    <cellStyle name="Note 2 2 2 4" xfId="1270"/>
    <cellStyle name="Note 2 2 2 4 2" xfId="1271"/>
    <cellStyle name="Note 2 2 2 5" xfId="1272"/>
    <cellStyle name="Note 2 2 3" xfId="1273"/>
    <cellStyle name="Note 2 2 3 2" xfId="1274"/>
    <cellStyle name="Note 2 2 3 2 2" xfId="1275"/>
    <cellStyle name="Note 2 2 3 3" xfId="1276"/>
    <cellStyle name="Note 2 2 4" xfId="1277"/>
    <cellStyle name="Note 2 2 4 2" xfId="1278"/>
    <cellStyle name="Note 2 2 4 2 2" xfId="1279"/>
    <cellStyle name="Note 2 2 4 3" xfId="1280"/>
    <cellStyle name="Note 2 2 5" xfId="1281"/>
    <cellStyle name="Note 2 2 5 2" xfId="1282"/>
    <cellStyle name="Note 2 2 6" xfId="1283"/>
    <cellStyle name="Note 2 2 7" xfId="1558"/>
    <cellStyle name="Note 2 3" xfId="1284"/>
    <cellStyle name="Note 2 3 2" xfId="1285"/>
    <cellStyle name="Note 2 3 2 2" xfId="1286"/>
    <cellStyle name="Note 2 3 2 2 2" xfId="1287"/>
    <cellStyle name="Note 2 3 2 3" xfId="1288"/>
    <cellStyle name="Note 2 3 3" xfId="1289"/>
    <cellStyle name="Note 2 3 3 2" xfId="1290"/>
    <cellStyle name="Note 2 3 3 2 2" xfId="1291"/>
    <cellStyle name="Note 2 3 3 3" xfId="1292"/>
    <cellStyle name="Note 2 3 4" xfId="1293"/>
    <cellStyle name="Note 2 3 4 2" xfId="1294"/>
    <cellStyle name="Note 2 3 5" xfId="1295"/>
    <cellStyle name="Note 2 4" xfId="1296"/>
    <cellStyle name="Note 2 4 2" xfId="1297"/>
    <cellStyle name="Note 2 4 2 2" xfId="1298"/>
    <cellStyle name="Note 2 4 3" xfId="1299"/>
    <cellStyle name="Note 2 5" xfId="1300"/>
    <cellStyle name="Note 2 5 2" xfId="1301"/>
    <cellStyle name="Note 2 5 2 2" xfId="1302"/>
    <cellStyle name="Note 2 5 3" xfId="1303"/>
    <cellStyle name="Note 2 6" xfId="1304"/>
    <cellStyle name="Note 2 6 2" xfId="1305"/>
    <cellStyle name="Note 2 7" xfId="1306"/>
    <cellStyle name="Note 2 8" xfId="1307"/>
    <cellStyle name="Note 2 8 2" xfId="1502"/>
    <cellStyle name="Note 2 9" xfId="1757"/>
    <cellStyle name="Note 3" xfId="1308"/>
    <cellStyle name="Note 3 2" xfId="1309"/>
    <cellStyle name="Note 3 2 2" xfId="1310"/>
    <cellStyle name="Note 3 3" xfId="1311"/>
    <cellStyle name="Note 4" xfId="1312"/>
    <cellStyle name="Note 4 2" xfId="1313"/>
    <cellStyle name="Note 5" xfId="1555"/>
    <cellStyle name="Number" xfId="1758"/>
    <cellStyle name="Number0DecimalStyle" xfId="1759"/>
    <cellStyle name="Number10DecimalStyle" xfId="1760"/>
    <cellStyle name="Number1DecimalStyle" xfId="1761"/>
    <cellStyle name="Number2DecimalStyle" xfId="1762"/>
    <cellStyle name="Number3DecimalStyle" xfId="1763"/>
    <cellStyle name="Number4DecimalStyle" xfId="1764"/>
    <cellStyle name="Number5DecimalStyle" xfId="1765"/>
    <cellStyle name="Number6DecimalStyle" xfId="1766"/>
    <cellStyle name="Number7DecimalStyle" xfId="1767"/>
    <cellStyle name="Number8DecimalStyle" xfId="1768"/>
    <cellStyle name="Number9DecimalStyle" xfId="1769"/>
    <cellStyle name="Output" xfId="1432" builtinId="21" customBuiltin="1"/>
    <cellStyle name="Output 2" xfId="1491"/>
    <cellStyle name="Output 2 2" xfId="1770"/>
    <cellStyle name="Output 3" xfId="1493"/>
    <cellStyle name="Percent" xfId="2" builtinId="5"/>
    <cellStyle name="Percent [2]" xfId="1771"/>
    <cellStyle name="Percent 10" xfId="1314"/>
    <cellStyle name="Percent 10 2" xfId="1315"/>
    <cellStyle name="Percent 10 2 2" xfId="1316"/>
    <cellStyle name="Percent 11" xfId="1317"/>
    <cellStyle name="Percent 11 2" xfId="1318"/>
    <cellStyle name="Percent 12" xfId="1319"/>
    <cellStyle name="Percent 12 2" xfId="1320"/>
    <cellStyle name="Percent 2" xfId="1321"/>
    <cellStyle name="Percent 2 2" xfId="1322"/>
    <cellStyle name="Percent 2 2 2" xfId="1323"/>
    <cellStyle name="Percent 2 2 2 2" xfId="1324"/>
    <cellStyle name="Percent 2 2 2 2 2" xfId="1325"/>
    <cellStyle name="Percent 2 2 2 2 2 2" xfId="1326"/>
    <cellStyle name="Percent 2 2 2 2 3" xfId="1327"/>
    <cellStyle name="Percent 2 2 2 3" xfId="1328"/>
    <cellStyle name="Percent 2 2 2 3 2" xfId="1329"/>
    <cellStyle name="Percent 2 2 2 4" xfId="1330"/>
    <cellStyle name="Percent 2 2 2 5" xfId="1774"/>
    <cellStyle name="Percent 2 2 3" xfId="1331"/>
    <cellStyle name="Percent 2 2 4" xfId="1332"/>
    <cellStyle name="Percent 2 2 4 2" xfId="1333"/>
    <cellStyle name="Percent 2 2 4 2 2" xfId="1334"/>
    <cellStyle name="Percent 2 2 4 3" xfId="1335"/>
    <cellStyle name="Percent 2 2 5" xfId="1336"/>
    <cellStyle name="Percent 2 2 5 2" xfId="1337"/>
    <cellStyle name="Percent 2 2 6" xfId="1338"/>
    <cellStyle name="Percent 2 2 7" xfId="1551"/>
    <cellStyle name="Percent 2 2 8" xfId="1773"/>
    <cellStyle name="Percent 2 3" xfId="1339"/>
    <cellStyle name="Percent 2 3 2" xfId="1776"/>
    <cellStyle name="Percent 2 3 3" xfId="1775"/>
    <cellStyle name="Percent 2 4" xfId="1340"/>
    <cellStyle name="Percent 2 4 2" xfId="1778"/>
    <cellStyle name="Percent 2 4 3" xfId="1777"/>
    <cellStyle name="Percent 2 5" xfId="1772"/>
    <cellStyle name="Percent 3" xfId="1341"/>
    <cellStyle name="Percent 3 2" xfId="1342"/>
    <cellStyle name="Percent 3 2 2" xfId="1343"/>
    <cellStyle name="Percent 3 2 2 2" xfId="1344"/>
    <cellStyle name="Percent 3 2 2 2 2" xfId="1345"/>
    <cellStyle name="Percent 3 2 2 3" xfId="1346"/>
    <cellStyle name="Percent 3 2 3" xfId="1347"/>
    <cellStyle name="Percent 3 2 3 2" xfId="1348"/>
    <cellStyle name="Percent 3 2 4" xfId="1349"/>
    <cellStyle name="Percent 3 2 5" xfId="1517"/>
    <cellStyle name="Percent 3 2 6" xfId="1780"/>
    <cellStyle name="Percent 3 3" xfId="1350"/>
    <cellStyle name="Percent 3 4" xfId="1351"/>
    <cellStyle name="Percent 3 4 2" xfId="1352"/>
    <cellStyle name="Percent 3 4 2 2" xfId="1353"/>
    <cellStyle name="Percent 3 4 3" xfId="1354"/>
    <cellStyle name="Percent 3 5" xfId="1355"/>
    <cellStyle name="Percent 3 5 2" xfId="1356"/>
    <cellStyle name="Percent 3 6" xfId="1357"/>
    <cellStyle name="Percent 3 7" xfId="1508"/>
    <cellStyle name="Percent 3 8" xfId="1779"/>
    <cellStyle name="Percent 4" xfId="1358"/>
    <cellStyle name="Percent 4 2" xfId="1359"/>
    <cellStyle name="Percent 4 2 2" xfId="1519"/>
    <cellStyle name="Percent 4 2 2 2" xfId="1783"/>
    <cellStyle name="Percent 4 2 3" xfId="1782"/>
    <cellStyle name="Percent 4 3" xfId="1360"/>
    <cellStyle name="Percent 4 4" xfId="1361"/>
    <cellStyle name="Percent 4 4 2" xfId="1362"/>
    <cellStyle name="Percent 4 4 2 2" xfId="1363"/>
    <cellStyle name="Percent 4 4 3" xfId="1364"/>
    <cellStyle name="Percent 4 5" xfId="1365"/>
    <cellStyle name="Percent 4 5 2" xfId="1366"/>
    <cellStyle name="Percent 4 6" xfId="1367"/>
    <cellStyle name="Percent 4 7" xfId="1520"/>
    <cellStyle name="Percent 4 8" xfId="1781"/>
    <cellStyle name="Percent 5" xfId="1368"/>
    <cellStyle name="Percent 5 2" xfId="1369"/>
    <cellStyle name="Percent 5 2 2" xfId="1370"/>
    <cellStyle name="Percent 5 2 2 2" xfId="1371"/>
    <cellStyle name="Percent 5 2 2 2 2" xfId="1372"/>
    <cellStyle name="Percent 5 2 2 2 2 2" xfId="1373"/>
    <cellStyle name="Percent 5 2 2 2 3" xfId="1374"/>
    <cellStyle name="Percent 5 2 2 3" xfId="1375"/>
    <cellStyle name="Percent 5 2 2 3 2" xfId="1376"/>
    <cellStyle name="Percent 5 2 2 3 2 2" xfId="1377"/>
    <cellStyle name="Percent 5 2 2 3 3" xfId="1378"/>
    <cellStyle name="Percent 5 2 2 4" xfId="1379"/>
    <cellStyle name="Percent 5 2 2 4 2" xfId="1380"/>
    <cellStyle name="Percent 5 2 2 5" xfId="1381"/>
    <cellStyle name="Percent 5 2 3" xfId="1382"/>
    <cellStyle name="Percent 5 2 3 2" xfId="1383"/>
    <cellStyle name="Percent 5 2 3 2 2" xfId="1384"/>
    <cellStyle name="Percent 5 2 3 3" xfId="1385"/>
    <cellStyle name="Percent 5 2 4" xfId="1386"/>
    <cellStyle name="Percent 5 2 4 2" xfId="1387"/>
    <cellStyle name="Percent 5 2 4 2 2" xfId="1388"/>
    <cellStyle name="Percent 5 2 4 3" xfId="1389"/>
    <cellStyle name="Percent 5 2 5" xfId="1390"/>
    <cellStyle name="Percent 5 2 5 2" xfId="1391"/>
    <cellStyle name="Percent 5 2 6" xfId="1392"/>
    <cellStyle name="Percent 5 3" xfId="1393"/>
    <cellStyle name="Percent 5 3 2" xfId="1394"/>
    <cellStyle name="Percent 5 3 2 2" xfId="1395"/>
    <cellStyle name="Percent 5 3 2 2 2" xfId="1396"/>
    <cellStyle name="Percent 5 3 2 3" xfId="1397"/>
    <cellStyle name="Percent 5 3 3" xfId="1398"/>
    <cellStyle name="Percent 5 3 3 2" xfId="1399"/>
    <cellStyle name="Percent 5 3 3 2 2" xfId="1400"/>
    <cellStyle name="Percent 5 3 3 3" xfId="1401"/>
    <cellStyle name="Percent 5 3 4" xfId="1402"/>
    <cellStyle name="Percent 5 3 4 2" xfId="1403"/>
    <cellStyle name="Percent 5 3 5" xfId="1404"/>
    <cellStyle name="Percent 5 4" xfId="1405"/>
    <cellStyle name="Percent 5 4 2" xfId="1406"/>
    <cellStyle name="Percent 5 4 2 2" xfId="1407"/>
    <cellStyle name="Percent 5 4 3" xfId="1408"/>
    <cellStyle name="Percent 5 5" xfId="1409"/>
    <cellStyle name="Percent 5 5 2" xfId="1410"/>
    <cellStyle name="Percent 5 5 2 2" xfId="1411"/>
    <cellStyle name="Percent 5 5 3" xfId="1412"/>
    <cellStyle name="Percent 5 6" xfId="1413"/>
    <cellStyle name="Percent 5 6 2" xfId="1414"/>
    <cellStyle name="Percent 5 7" xfId="1415"/>
    <cellStyle name="Percent 5 8" xfId="1784"/>
    <cellStyle name="Percent 6" xfId="1416"/>
    <cellStyle name="Percent 6 2" xfId="1417"/>
    <cellStyle name="Percent 6 3" xfId="1785"/>
    <cellStyle name="Percent 7" xfId="1418"/>
    <cellStyle name="Percent 7 2" xfId="1419"/>
    <cellStyle name="Percent 7 3" xfId="1786"/>
    <cellStyle name="Percent 8" xfId="1420"/>
    <cellStyle name="Percent 9" xfId="1421"/>
    <cellStyle name="Percent 9 2" xfId="1422"/>
    <cellStyle name="Single Border" xfId="1787"/>
    <cellStyle name="TextStyle" xfId="1788"/>
    <cellStyle name="Title" xfId="1423" builtinId="15" customBuiltin="1"/>
    <cellStyle name="Title 2" xfId="1470"/>
    <cellStyle name="Title 2 2" xfId="1789"/>
    <cellStyle name="Title 3" xfId="1513"/>
    <cellStyle name="Total" xfId="1438" builtinId="25" customBuiltin="1"/>
    <cellStyle name="Total 2" xfId="1496"/>
    <cellStyle name="Total 2 2" xfId="1790"/>
    <cellStyle name="Total 3" xfId="1549"/>
    <cellStyle name="w/$" xfId="1791"/>
    <cellStyle name="w/o $" xfId="1792"/>
    <cellStyle name="Warning Text" xfId="1436" builtinId="11" customBuiltin="1"/>
    <cellStyle name="Warning Text 2" xfId="1473"/>
    <cellStyle name="Warning Text 2 2" xfId="1793"/>
    <cellStyle name="Warning Text 3" xfId="15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abSelected="1" zoomScaleNormal="100" workbookViewId="0">
      <pane ySplit="7" topLeftCell="A8" activePane="bottomLeft" state="frozen"/>
      <selection pane="bottomLeft" activeCell="F14" sqref="F14"/>
    </sheetView>
  </sheetViews>
  <sheetFormatPr defaultRowHeight="15"/>
  <cols>
    <col min="1" max="1" width="41.140625" customWidth="1"/>
    <col min="6" max="6" width="22.85546875" style="58" customWidth="1"/>
    <col min="7" max="8" width="9.140625" style="78"/>
    <col min="9" max="9" width="22.85546875" style="58" customWidth="1"/>
    <col min="11" max="11" width="10.5703125" bestFit="1" customWidth="1"/>
  </cols>
  <sheetData>
    <row r="1" spans="1:9">
      <c r="A1" s="147" t="s">
        <v>894</v>
      </c>
      <c r="B1" s="147"/>
      <c r="C1" s="147"/>
      <c r="D1" s="147"/>
      <c r="E1" s="147"/>
      <c r="F1" s="147"/>
      <c r="G1" s="147"/>
      <c r="H1" s="147"/>
      <c r="I1" s="147"/>
    </row>
    <row r="2" spans="1:9">
      <c r="A2" s="209" t="s">
        <v>895</v>
      </c>
      <c r="B2" s="209"/>
      <c r="C2" s="209"/>
      <c r="D2" s="209"/>
      <c r="E2" s="209"/>
      <c r="F2" s="209"/>
      <c r="G2" s="209"/>
      <c r="H2" s="209"/>
      <c r="I2" s="209"/>
    </row>
    <row r="3" spans="1:9" s="217" customFormat="1">
      <c r="A3" s="43"/>
      <c r="B3" s="43"/>
      <c r="C3" s="43"/>
      <c r="D3" s="43"/>
      <c r="E3" s="43"/>
      <c r="F3" s="43"/>
      <c r="G3" s="43"/>
      <c r="H3" s="43"/>
      <c r="I3" s="43"/>
    </row>
    <row r="4" spans="1:9" s="217" customFormat="1" ht="36.75" customHeight="1">
      <c r="A4" s="207" t="s">
        <v>897</v>
      </c>
      <c r="B4" s="207"/>
      <c r="C4" s="207"/>
      <c r="D4" s="207"/>
      <c r="E4" s="207"/>
      <c r="F4" s="207"/>
      <c r="G4" s="207"/>
      <c r="H4" s="207"/>
      <c r="I4" s="207"/>
    </row>
    <row r="5" spans="1:9" s="217" customFormat="1">
      <c r="A5" s="43"/>
      <c r="B5" s="43"/>
      <c r="C5" s="43"/>
      <c r="D5" s="43"/>
      <c r="E5" s="43"/>
      <c r="F5" s="43"/>
      <c r="G5" s="43"/>
      <c r="H5" s="43"/>
      <c r="I5" s="43"/>
    </row>
    <row r="6" spans="1:9">
      <c r="A6" s="41" t="s">
        <v>133</v>
      </c>
    </row>
    <row r="7" spans="1:9">
      <c r="A7" s="42" t="s">
        <v>903</v>
      </c>
      <c r="F7" s="59" t="s">
        <v>134</v>
      </c>
      <c r="I7" s="59" t="s">
        <v>135</v>
      </c>
    </row>
    <row r="9" spans="1:9" ht="44.25" customHeight="1">
      <c r="A9" s="145" t="s">
        <v>892</v>
      </c>
      <c r="B9" s="145"/>
      <c r="C9" s="145"/>
      <c r="D9" s="145"/>
      <c r="E9" s="145"/>
      <c r="F9" s="145"/>
      <c r="G9" s="145"/>
      <c r="H9" s="145"/>
      <c r="I9" s="145"/>
    </row>
    <row r="10" spans="1:9" s="6" customFormat="1">
      <c r="F10" s="58"/>
      <c r="G10" s="78"/>
      <c r="H10" s="78"/>
      <c r="I10" s="58"/>
    </row>
    <row r="11" spans="1:9" s="6" customFormat="1">
      <c r="A11" s="6" t="s">
        <v>136</v>
      </c>
      <c r="F11" s="58" t="s">
        <v>797</v>
      </c>
      <c r="G11" s="78"/>
      <c r="H11" s="78"/>
      <c r="I11" s="58"/>
    </row>
    <row r="12" spans="1:9" s="6" customFormat="1">
      <c r="A12" s="6" t="s">
        <v>137</v>
      </c>
      <c r="E12" s="60"/>
      <c r="F12" s="58"/>
      <c r="G12" s="78"/>
      <c r="H12" s="78"/>
      <c r="I12" s="58" t="str">
        <f>F11</f>
        <v>Employer Provided</v>
      </c>
    </row>
    <row r="13" spans="1:9" s="6" customFormat="1">
      <c r="A13" s="6" t="s">
        <v>138</v>
      </c>
      <c r="F13" s="58"/>
      <c r="G13" s="78"/>
      <c r="H13" s="78"/>
      <c r="I13" s="58"/>
    </row>
    <row r="14" spans="1:9" s="6" customFormat="1">
      <c r="F14" s="58"/>
      <c r="G14" s="78"/>
      <c r="H14" s="78"/>
      <c r="I14" s="58"/>
    </row>
    <row r="15" spans="1:9">
      <c r="A15" t="s">
        <v>139</v>
      </c>
      <c r="F15" s="62">
        <f>VLOOKUP($A$7,'LGOP Results'!$A:$BA,7,FALSE)</f>
        <v>5598</v>
      </c>
      <c r="G15" s="208"/>
      <c r="H15" s="208"/>
      <c r="I15" s="62"/>
    </row>
    <row r="16" spans="1:9">
      <c r="A16" t="s">
        <v>140</v>
      </c>
      <c r="F16" s="62"/>
      <c r="G16" s="208"/>
      <c r="H16" s="208"/>
      <c r="I16" s="62">
        <f>F15</f>
        <v>5598</v>
      </c>
    </row>
    <row r="17" spans="1:9">
      <c r="A17" t="s">
        <v>141</v>
      </c>
    </row>
    <row r="19" spans="1:9" ht="60" customHeight="1">
      <c r="A19" s="148" t="s">
        <v>142</v>
      </c>
      <c r="B19" s="148"/>
      <c r="C19" s="148"/>
      <c r="D19" s="148"/>
      <c r="E19" s="148"/>
      <c r="F19" s="148"/>
      <c r="G19" s="148"/>
      <c r="H19" s="148"/>
      <c r="I19" s="148"/>
    </row>
    <row r="21" spans="1:9">
      <c r="A21" t="s">
        <v>143</v>
      </c>
      <c r="F21" s="58">
        <f>VLOOKUP($A$7,'LGOP Results'!$A:$BA,20,FALSE)</f>
        <v>0</v>
      </c>
    </row>
    <row r="22" spans="1:9">
      <c r="A22" t="s">
        <v>137</v>
      </c>
      <c r="I22" s="58">
        <f>F21</f>
        <v>0</v>
      </c>
    </row>
    <row r="24" spans="1:9" ht="34.5" customHeight="1">
      <c r="A24" s="145" t="s">
        <v>158</v>
      </c>
      <c r="B24" s="145"/>
      <c r="C24" s="145"/>
      <c r="D24" s="145"/>
      <c r="E24" s="145"/>
      <c r="F24" s="145"/>
      <c r="G24" s="145"/>
      <c r="H24" s="145"/>
      <c r="I24" s="145"/>
    </row>
    <row r="26" spans="1:9">
      <c r="A26" t="s">
        <v>144</v>
      </c>
      <c r="F26" s="62">
        <f>VLOOKUP($A$7,'LGOP Results'!$A:$BA,8,FALSE)</f>
        <v>793</v>
      </c>
      <c r="G26" s="208"/>
      <c r="H26" s="208"/>
      <c r="I26" s="62"/>
    </row>
    <row r="27" spans="1:9">
      <c r="A27" t="s">
        <v>140</v>
      </c>
      <c r="F27" s="62"/>
      <c r="G27" s="208"/>
      <c r="H27" s="208"/>
      <c r="I27" s="62">
        <f>F26</f>
        <v>793</v>
      </c>
    </row>
    <row r="29" spans="1:9" ht="80.25" customHeight="1">
      <c r="A29" s="145" t="s">
        <v>799</v>
      </c>
      <c r="B29" s="145"/>
      <c r="C29" s="145"/>
      <c r="D29" s="145"/>
      <c r="E29" s="145"/>
      <c r="F29" s="145"/>
      <c r="G29" s="145"/>
      <c r="H29" s="145"/>
      <c r="I29" s="145"/>
    </row>
    <row r="31" spans="1:9">
      <c r="A31" t="s">
        <v>136</v>
      </c>
      <c r="F31" s="62">
        <f>I32</f>
        <v>0</v>
      </c>
      <c r="G31" s="208"/>
      <c r="H31" s="208"/>
      <c r="I31" s="62"/>
    </row>
    <row r="32" spans="1:9">
      <c r="A32" t="s">
        <v>156</v>
      </c>
      <c r="F32" s="62"/>
      <c r="G32" s="208"/>
      <c r="H32" s="208"/>
      <c r="I32" s="62">
        <f>VLOOKUP($A$7,'LGOP Results'!$A:$BA,18,FALSE)</f>
        <v>0</v>
      </c>
    </row>
    <row r="34" spans="1:11" ht="66.75" customHeight="1">
      <c r="A34" s="145" t="s">
        <v>160</v>
      </c>
      <c r="B34" s="145"/>
      <c r="C34" s="145"/>
      <c r="D34" s="145"/>
      <c r="E34" s="145"/>
      <c r="F34" s="145"/>
      <c r="G34" s="145"/>
      <c r="H34" s="145"/>
      <c r="I34" s="145"/>
    </row>
    <row r="36" spans="1:11">
      <c r="A36" t="s">
        <v>157</v>
      </c>
      <c r="F36" s="62">
        <f>VLOOKUP($A$7,'LGOP Results'!$A:$BA,22,FALSE)</f>
        <v>0</v>
      </c>
      <c r="G36" s="208"/>
      <c r="H36" s="208"/>
      <c r="I36" s="62"/>
    </row>
    <row r="37" spans="1:11">
      <c r="A37" t="s">
        <v>140</v>
      </c>
      <c r="F37" s="62"/>
      <c r="G37" s="208"/>
      <c r="H37" s="208"/>
      <c r="I37" s="62">
        <f>F36</f>
        <v>0</v>
      </c>
    </row>
    <row r="39" spans="1:11" ht="75.75" customHeight="1">
      <c r="A39" s="145" t="s">
        <v>800</v>
      </c>
      <c r="B39" s="145"/>
      <c r="C39" s="145"/>
      <c r="D39" s="145"/>
      <c r="E39" s="145"/>
      <c r="F39" s="145"/>
      <c r="G39" s="145"/>
      <c r="H39" s="145"/>
      <c r="I39" s="145"/>
    </row>
    <row r="41" spans="1:11">
      <c r="A41" t="s">
        <v>136</v>
      </c>
      <c r="F41" s="62">
        <f>I42</f>
        <v>523</v>
      </c>
      <c r="G41" s="208"/>
      <c r="H41" s="208"/>
      <c r="I41" s="62"/>
    </row>
    <row r="42" spans="1:11">
      <c r="A42" t="s">
        <v>145</v>
      </c>
      <c r="F42" s="62"/>
      <c r="G42" s="208"/>
      <c r="H42" s="208"/>
      <c r="I42" s="62">
        <f>-VLOOKUP($A$7,'LGOP Results'!$A:$BA,19,FALSE)</f>
        <v>523</v>
      </c>
      <c r="K42" s="107"/>
    </row>
    <row r="43" spans="1:11">
      <c r="A43" t="s">
        <v>798</v>
      </c>
    </row>
    <row r="44" spans="1:11" s="86" customFormat="1">
      <c r="F44" s="58"/>
      <c r="G44" s="78"/>
      <c r="H44" s="78"/>
      <c r="I44" s="58"/>
    </row>
    <row r="45" spans="1:11" ht="60.75" customHeight="1">
      <c r="A45" s="145" t="s">
        <v>162</v>
      </c>
      <c r="B45" s="145"/>
      <c r="C45" s="145"/>
      <c r="D45" s="145"/>
      <c r="E45" s="145"/>
      <c r="F45" s="145"/>
      <c r="G45" s="145"/>
      <c r="H45" s="145"/>
      <c r="I45" s="145"/>
    </row>
    <row r="47" spans="1:11">
      <c r="A47" t="s">
        <v>146</v>
      </c>
      <c r="F47" s="62">
        <f>-VLOOKUP($A$7,'LGOP Results'!$A:$BA,23,FALSE)</f>
        <v>53</v>
      </c>
      <c r="G47" s="208"/>
      <c r="H47" s="208"/>
      <c r="I47" s="62"/>
    </row>
    <row r="48" spans="1:11">
      <c r="A48" t="s">
        <v>140</v>
      </c>
      <c r="F48" s="62"/>
      <c r="G48" s="208"/>
      <c r="H48" s="208"/>
      <c r="I48" s="62">
        <f>F47</f>
        <v>53</v>
      </c>
    </row>
    <row r="49" spans="1:9" s="217" customFormat="1">
      <c r="A49" s="217" t="s">
        <v>801</v>
      </c>
      <c r="F49" s="58"/>
      <c r="G49" s="78"/>
      <c r="H49" s="78"/>
      <c r="I49" s="58"/>
    </row>
    <row r="51" spans="1:9" ht="60" customHeight="1">
      <c r="A51" s="145" t="s">
        <v>163</v>
      </c>
      <c r="B51" s="145"/>
      <c r="C51" s="145"/>
      <c r="D51" s="145"/>
      <c r="E51" s="145"/>
      <c r="F51" s="145"/>
      <c r="G51" s="145"/>
      <c r="H51" s="145"/>
      <c r="I51" s="145"/>
    </row>
    <row r="53" spans="1:9">
      <c r="A53" t="s">
        <v>136</v>
      </c>
      <c r="F53" s="62">
        <f>I54</f>
        <v>0</v>
      </c>
      <c r="G53" s="208"/>
      <c r="H53" s="208"/>
      <c r="I53" s="62"/>
    </row>
    <row r="54" spans="1:9">
      <c r="A54" t="s">
        <v>147</v>
      </c>
      <c r="F54" s="62"/>
      <c r="G54" s="208"/>
      <c r="H54" s="208"/>
      <c r="I54" s="62">
        <f>VLOOKUP($A$7,'LGOP Results'!$A:$BA,20,FALSE)</f>
        <v>0</v>
      </c>
    </row>
    <row r="56" spans="1:9" ht="48" customHeight="1">
      <c r="A56" s="146" t="s">
        <v>164</v>
      </c>
      <c r="B56" s="146"/>
      <c r="C56" s="146"/>
      <c r="D56" s="146"/>
      <c r="E56" s="146"/>
      <c r="F56" s="146"/>
      <c r="G56" s="146"/>
      <c r="H56" s="146"/>
      <c r="I56" s="146"/>
    </row>
    <row r="57" spans="1:9">
      <c r="A57" s="78"/>
      <c r="B57" s="78"/>
      <c r="C57" s="78"/>
      <c r="D57" s="78"/>
      <c r="E57" s="78"/>
    </row>
    <row r="58" spans="1:9">
      <c r="A58" s="78" t="s">
        <v>143</v>
      </c>
      <c r="B58" s="78"/>
      <c r="C58" s="78"/>
      <c r="D58" s="78"/>
      <c r="E58" s="78"/>
      <c r="F58" s="62">
        <f>VLOOKUP($A$7,'LGOP Results'!$A:$BA,9,FALSE)</f>
        <v>0.1800000000000006</v>
      </c>
      <c r="G58" s="208"/>
      <c r="H58" s="208"/>
      <c r="I58" s="62"/>
    </row>
    <row r="59" spans="1:9">
      <c r="A59" s="78" t="s">
        <v>148</v>
      </c>
      <c r="B59" s="78"/>
      <c r="C59" s="78"/>
      <c r="D59" s="78"/>
      <c r="E59" s="78"/>
      <c r="F59" s="62"/>
      <c r="G59" s="208"/>
      <c r="H59" s="208"/>
      <c r="I59" s="62">
        <f>F58</f>
        <v>0.1800000000000006</v>
      </c>
    </row>
    <row r="60" spans="1:9">
      <c r="A60" s="78"/>
      <c r="B60" s="78"/>
      <c r="C60" s="78"/>
      <c r="D60" s="78"/>
      <c r="E60" s="78"/>
    </row>
    <row r="61" spans="1:9" ht="15.75" thickBot="1">
      <c r="A61" s="78"/>
      <c r="B61" s="78"/>
      <c r="C61" s="78"/>
      <c r="D61" s="78"/>
      <c r="E61" s="78"/>
    </row>
    <row r="62" spans="1:9">
      <c r="A62" s="44" t="s">
        <v>149</v>
      </c>
      <c r="B62" s="45"/>
      <c r="C62" s="45"/>
      <c r="D62" s="45"/>
      <c r="E62" s="45"/>
      <c r="F62" s="98"/>
      <c r="G62" s="99"/>
      <c r="H62" s="99"/>
      <c r="I62" s="100">
        <f>I16+I27-F41+I48-F53</f>
        <v>5921</v>
      </c>
    </row>
    <row r="63" spans="1:9">
      <c r="A63" s="46" t="s">
        <v>150</v>
      </c>
      <c r="B63" s="47"/>
      <c r="C63" s="47"/>
      <c r="D63" s="47"/>
      <c r="E63" s="47"/>
      <c r="F63" s="101"/>
      <c r="G63" s="102"/>
      <c r="H63" s="102"/>
      <c r="I63" s="103">
        <f>VLOOKUP($A$7,'LGOP Results'!$A:$BA,6,FALSE)</f>
        <v>5921</v>
      </c>
    </row>
    <row r="64" spans="1:9">
      <c r="A64" s="46"/>
      <c r="B64" s="47"/>
      <c r="C64" s="47"/>
      <c r="D64" s="47"/>
      <c r="E64" s="47"/>
      <c r="F64" s="101"/>
      <c r="G64" s="102"/>
      <c r="H64" s="102"/>
      <c r="I64" s="103">
        <f>I62-I63</f>
        <v>0</v>
      </c>
    </row>
    <row r="65" spans="1:9">
      <c r="A65" s="46" t="s">
        <v>151</v>
      </c>
      <c r="B65" s="47"/>
      <c r="C65" s="47"/>
      <c r="D65" s="47"/>
      <c r="E65" s="47"/>
      <c r="F65" s="101"/>
      <c r="G65" s="102"/>
      <c r="H65" s="102"/>
      <c r="I65" s="103">
        <f>I27-F41+I48-F53</f>
        <v>323</v>
      </c>
    </row>
    <row r="66" spans="1:9">
      <c r="A66" s="46" t="s">
        <v>152</v>
      </c>
      <c r="B66" s="47"/>
      <c r="C66" s="47"/>
      <c r="D66" s="47"/>
      <c r="E66" s="47"/>
      <c r="F66" s="101"/>
      <c r="G66" s="102"/>
      <c r="H66" s="102"/>
      <c r="I66" s="103">
        <f>VLOOKUP($A$7,'LGOP Results'!$A:$BA,35,FALSE)</f>
        <v>323</v>
      </c>
    </row>
    <row r="67" spans="1:9">
      <c r="A67" s="46"/>
      <c r="B67" s="47"/>
      <c r="C67" s="47"/>
      <c r="D67" s="47"/>
      <c r="E67" s="47"/>
      <c r="F67" s="101"/>
      <c r="G67" s="102"/>
      <c r="H67" s="102"/>
      <c r="I67" s="103">
        <f>I65-I66</f>
        <v>0</v>
      </c>
    </row>
    <row r="68" spans="1:9">
      <c r="A68" s="46"/>
      <c r="B68" s="47"/>
      <c r="C68" s="47"/>
      <c r="D68" s="47"/>
      <c r="E68" s="47"/>
      <c r="F68" s="101"/>
      <c r="G68" s="102"/>
      <c r="H68" s="102"/>
      <c r="I68" s="103"/>
    </row>
    <row r="69" spans="1:9">
      <c r="A69" s="48" t="s">
        <v>153</v>
      </c>
      <c r="B69" s="47"/>
      <c r="C69" s="47"/>
      <c r="D69" s="47"/>
      <c r="E69" s="47"/>
      <c r="F69" s="101"/>
      <c r="G69" s="102"/>
      <c r="H69" s="102"/>
      <c r="I69" s="103"/>
    </row>
    <row r="70" spans="1:9">
      <c r="A70" s="46"/>
      <c r="B70" s="47"/>
      <c r="C70" s="47"/>
      <c r="D70" s="47"/>
      <c r="E70" s="47"/>
      <c r="F70" s="101"/>
      <c r="G70" s="102"/>
      <c r="H70" s="102"/>
      <c r="I70" s="103"/>
    </row>
    <row r="71" spans="1:9">
      <c r="A71" s="46" t="s">
        <v>803</v>
      </c>
      <c r="B71" s="47"/>
      <c r="C71" s="47"/>
      <c r="D71" s="47"/>
      <c r="E71" s="47"/>
      <c r="F71" s="101"/>
      <c r="G71" s="102"/>
      <c r="H71" s="102"/>
      <c r="I71" s="103"/>
    </row>
    <row r="72" spans="1:9" ht="15.75" thickBot="1">
      <c r="A72" s="49" t="s">
        <v>804</v>
      </c>
      <c r="B72" s="50"/>
      <c r="C72" s="50"/>
      <c r="D72" s="50"/>
      <c r="E72" s="50"/>
      <c r="F72" s="104"/>
      <c r="G72" s="105"/>
      <c r="H72" s="105"/>
      <c r="I72" s="106"/>
    </row>
  </sheetData>
  <mergeCells count="12">
    <mergeCell ref="A1:I1"/>
    <mergeCell ref="A9:I9"/>
    <mergeCell ref="A19:I19"/>
    <mergeCell ref="A24:I24"/>
    <mergeCell ref="A29:I29"/>
    <mergeCell ref="A2:I2"/>
    <mergeCell ref="A4:I4"/>
    <mergeCell ref="A51:I51"/>
    <mergeCell ref="A56:I56"/>
    <mergeCell ref="A34:I34"/>
    <mergeCell ref="A39:I39"/>
    <mergeCell ref="A45:I4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'LGOP Results'!$A$4:$A$581</xm:f>
          </x14:formula1>
          <xm:sqref>A7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workbookViewId="0">
      <pane ySplit="7" topLeftCell="A35" activePane="bottomLeft" state="frozen"/>
      <selection pane="bottomLeft" activeCell="I16" sqref="I16"/>
    </sheetView>
  </sheetViews>
  <sheetFormatPr defaultRowHeight="15"/>
  <cols>
    <col min="1" max="1" width="41.140625" customWidth="1"/>
    <col min="6" max="6" width="23.140625" style="58" customWidth="1"/>
    <col min="7" max="8" width="9.140625" style="78"/>
    <col min="9" max="9" width="19.5703125" style="58" bestFit="1" customWidth="1"/>
  </cols>
  <sheetData>
    <row r="1" spans="1:9">
      <c r="A1" s="147" t="s">
        <v>893</v>
      </c>
      <c r="B1" s="147"/>
      <c r="C1" s="147"/>
      <c r="D1" s="147"/>
      <c r="E1" s="147"/>
      <c r="F1" s="147"/>
      <c r="G1" s="147"/>
      <c r="H1" s="147"/>
      <c r="I1" s="147"/>
    </row>
    <row r="2" spans="1:9" s="217" customFormat="1">
      <c r="A2" s="209" t="s">
        <v>895</v>
      </c>
      <c r="B2" s="209"/>
      <c r="C2" s="209"/>
      <c r="D2" s="209"/>
      <c r="E2" s="209"/>
      <c r="F2" s="209"/>
      <c r="G2" s="209"/>
      <c r="H2" s="209"/>
      <c r="I2" s="209"/>
    </row>
    <row r="3" spans="1:9" s="217" customFormat="1">
      <c r="A3" s="43"/>
      <c r="B3" s="43"/>
      <c r="C3" s="43"/>
      <c r="D3" s="43"/>
      <c r="E3" s="43"/>
      <c r="F3" s="43"/>
      <c r="G3" s="43"/>
      <c r="H3" s="43"/>
      <c r="I3" s="43"/>
    </row>
    <row r="4" spans="1:9" s="217" customFormat="1" ht="36.75" customHeight="1">
      <c r="A4" s="207" t="s">
        <v>897</v>
      </c>
      <c r="B4" s="207"/>
      <c r="C4" s="207"/>
      <c r="D4" s="207"/>
      <c r="E4" s="207"/>
      <c r="F4" s="207"/>
      <c r="G4" s="207"/>
      <c r="H4" s="207"/>
      <c r="I4" s="207"/>
    </row>
    <row r="5" spans="1:9" s="217" customFormat="1">
      <c r="A5" s="43"/>
      <c r="B5" s="43"/>
      <c r="C5" s="43"/>
      <c r="D5" s="43"/>
      <c r="E5" s="43"/>
      <c r="F5" s="60"/>
      <c r="G5" s="60"/>
      <c r="H5" s="60"/>
      <c r="I5" s="60"/>
    </row>
    <row r="6" spans="1:9">
      <c r="A6" s="41" t="s">
        <v>133</v>
      </c>
    </row>
    <row r="7" spans="1:9">
      <c r="A7" s="61" t="s">
        <v>849</v>
      </c>
      <c r="F7" s="59" t="s">
        <v>134</v>
      </c>
      <c r="I7" s="59" t="s">
        <v>135</v>
      </c>
    </row>
    <row r="9" spans="1:9" ht="52.5" customHeight="1">
      <c r="A9" s="145" t="s">
        <v>891</v>
      </c>
      <c r="B9" s="145"/>
      <c r="C9" s="145"/>
      <c r="D9" s="145"/>
      <c r="E9" s="145"/>
      <c r="F9" s="145"/>
      <c r="G9" s="145"/>
      <c r="H9" s="145"/>
      <c r="I9" s="145"/>
    </row>
    <row r="11" spans="1:9">
      <c r="A11" t="s">
        <v>136</v>
      </c>
      <c r="F11" s="58" t="s">
        <v>797</v>
      </c>
    </row>
    <row r="12" spans="1:9">
      <c r="A12" t="s">
        <v>137</v>
      </c>
      <c r="E12" s="43"/>
      <c r="I12" s="58" t="str">
        <f>F11</f>
        <v>Employer Provided</v>
      </c>
    </row>
    <row r="13" spans="1:9">
      <c r="A13" t="s">
        <v>138</v>
      </c>
    </row>
    <row r="15" spans="1:9">
      <c r="A15" t="s">
        <v>139</v>
      </c>
      <c r="F15" s="62">
        <f>I16</f>
        <v>301932</v>
      </c>
      <c r="G15" s="208"/>
      <c r="H15" s="208"/>
      <c r="I15" s="62"/>
    </row>
    <row r="16" spans="1:9">
      <c r="A16" t="s">
        <v>140</v>
      </c>
      <c r="F16" s="62"/>
      <c r="G16" s="208"/>
      <c r="H16" s="208"/>
      <c r="I16" s="62">
        <f>VLOOKUP($A$7,'TNP Results'!$A$4:$AG$48,6,FALSE)</f>
        <v>301932</v>
      </c>
    </row>
    <row r="17" spans="1:9">
      <c r="A17" t="s">
        <v>141</v>
      </c>
    </row>
    <row r="19" spans="1:9" ht="64.5" customHeight="1">
      <c r="A19" s="148" t="s">
        <v>142</v>
      </c>
      <c r="B19" s="148"/>
      <c r="C19" s="148"/>
      <c r="D19" s="148"/>
      <c r="E19" s="148"/>
      <c r="F19" s="148"/>
      <c r="G19" s="148"/>
      <c r="H19" s="148"/>
      <c r="I19" s="148"/>
    </row>
    <row r="21" spans="1:9">
      <c r="A21" t="s">
        <v>143</v>
      </c>
      <c r="F21" s="62">
        <f>-VLOOKUP($A$7,'TNP Results'!$A$4:$AG$48,19,FALSE)</f>
        <v>4650</v>
      </c>
      <c r="G21" s="208"/>
      <c r="H21" s="208"/>
      <c r="I21" s="62"/>
    </row>
    <row r="22" spans="1:9">
      <c r="A22" t="s">
        <v>137</v>
      </c>
      <c r="F22" s="62"/>
      <c r="G22" s="208"/>
      <c r="H22" s="208"/>
      <c r="I22" s="62">
        <f>F21</f>
        <v>4650</v>
      </c>
    </row>
    <row r="24" spans="1:9" ht="32.25" customHeight="1">
      <c r="A24" s="145" t="s">
        <v>158</v>
      </c>
      <c r="B24" s="145"/>
      <c r="C24" s="145"/>
      <c r="D24" s="145"/>
      <c r="E24" s="145"/>
      <c r="F24" s="145"/>
      <c r="G24" s="145"/>
      <c r="H24" s="145"/>
      <c r="I24" s="145"/>
    </row>
    <row r="26" spans="1:9">
      <c r="A26" t="s">
        <v>144</v>
      </c>
      <c r="F26" s="62">
        <f>VLOOKUP($A$7,'TNP Results'!$A$4:$AG$48,7,FALSE)</f>
        <v>17493</v>
      </c>
      <c r="G26" s="208"/>
      <c r="H26" s="208"/>
      <c r="I26" s="62"/>
    </row>
    <row r="27" spans="1:9">
      <c r="A27" t="s">
        <v>140</v>
      </c>
      <c r="F27" s="62"/>
      <c r="G27" s="208"/>
      <c r="H27" s="208"/>
      <c r="I27" s="62">
        <f>F26</f>
        <v>17493</v>
      </c>
    </row>
    <row r="29" spans="1:9" ht="76.5" customHeight="1">
      <c r="A29" s="145" t="s">
        <v>159</v>
      </c>
      <c r="B29" s="145"/>
      <c r="C29" s="145"/>
      <c r="D29" s="145"/>
      <c r="E29" s="145"/>
      <c r="F29" s="145"/>
      <c r="G29" s="145"/>
      <c r="H29" s="145"/>
      <c r="I29" s="145"/>
    </row>
    <row r="31" spans="1:9">
      <c r="A31" t="s">
        <v>136</v>
      </c>
      <c r="F31" s="62">
        <f>I32</f>
        <v>0</v>
      </c>
      <c r="G31" s="208"/>
      <c r="H31" s="208"/>
      <c r="I31" s="62"/>
    </row>
    <row r="32" spans="1:9">
      <c r="A32" t="s">
        <v>156</v>
      </c>
      <c r="F32" s="62"/>
      <c r="G32" s="208"/>
      <c r="H32" s="208"/>
      <c r="I32" s="62">
        <f>VLOOKUP($A$7,'TNP Results'!$A$4:$AG$48,17,FALSE)</f>
        <v>0</v>
      </c>
    </row>
    <row r="34" spans="1:9" ht="75" customHeight="1">
      <c r="A34" s="145" t="s">
        <v>160</v>
      </c>
      <c r="B34" s="145"/>
      <c r="C34" s="145"/>
      <c r="D34" s="145"/>
      <c r="E34" s="145"/>
      <c r="F34" s="145"/>
      <c r="G34" s="145"/>
      <c r="H34" s="145"/>
      <c r="I34" s="145"/>
    </row>
    <row r="36" spans="1:9">
      <c r="A36" t="s">
        <v>157</v>
      </c>
      <c r="F36" s="62">
        <f>VLOOKUP($A$7,'TNP Results'!$A$4:$AG$48,21,FALSE)</f>
        <v>0</v>
      </c>
      <c r="G36" s="208"/>
      <c r="H36" s="208"/>
      <c r="I36" s="62"/>
    </row>
    <row r="37" spans="1:9">
      <c r="A37" t="s">
        <v>140</v>
      </c>
      <c r="F37" s="62"/>
      <c r="G37" s="208"/>
      <c r="H37" s="208"/>
      <c r="I37" s="62">
        <f>F36</f>
        <v>0</v>
      </c>
    </row>
    <row r="39" spans="1:9" ht="59.25" customHeight="1">
      <c r="A39" s="145" t="s">
        <v>161</v>
      </c>
      <c r="B39" s="145"/>
      <c r="C39" s="145"/>
      <c r="D39" s="145"/>
      <c r="E39" s="145"/>
      <c r="F39" s="145"/>
      <c r="G39" s="145"/>
      <c r="H39" s="145"/>
      <c r="I39" s="145"/>
    </row>
    <row r="41" spans="1:9">
      <c r="A41" t="s">
        <v>136</v>
      </c>
      <c r="F41" s="62">
        <f>I42</f>
        <v>29553</v>
      </c>
      <c r="G41" s="208"/>
      <c r="H41" s="208"/>
      <c r="I41" s="62"/>
    </row>
    <row r="42" spans="1:9">
      <c r="A42" t="s">
        <v>145</v>
      </c>
      <c r="F42" s="62"/>
      <c r="G42" s="208"/>
      <c r="H42" s="208"/>
      <c r="I42" s="62">
        <f>-VLOOKUP($A$7,'TNP Results'!$A$4:$AG$48,18,FALSE)</f>
        <v>29553</v>
      </c>
    </row>
    <row r="43" spans="1:9" s="217" customFormat="1">
      <c r="A43" s="217" t="s">
        <v>798</v>
      </c>
      <c r="F43" s="58"/>
      <c r="G43" s="78"/>
      <c r="H43" s="78"/>
      <c r="I43" s="58"/>
    </row>
    <row r="45" spans="1:9" ht="66.75" customHeight="1">
      <c r="A45" s="145" t="s">
        <v>162</v>
      </c>
      <c r="B45" s="145"/>
      <c r="C45" s="145"/>
      <c r="D45" s="145"/>
      <c r="E45" s="145"/>
      <c r="F45" s="145"/>
      <c r="G45" s="145"/>
      <c r="H45" s="145"/>
      <c r="I45" s="145"/>
    </row>
    <row r="47" spans="1:9">
      <c r="A47" t="s">
        <v>146</v>
      </c>
      <c r="F47" s="62">
        <f>-VLOOKUP($A$7,'TNP Results'!$A$4:$AG$48,22,FALSE)</f>
        <v>3397</v>
      </c>
      <c r="G47" s="208"/>
      <c r="H47" s="208"/>
      <c r="I47" s="62"/>
    </row>
    <row r="48" spans="1:9">
      <c r="A48" t="s">
        <v>140</v>
      </c>
      <c r="F48" s="62"/>
      <c r="G48" s="208"/>
      <c r="H48" s="208"/>
      <c r="I48" s="62">
        <f>F47</f>
        <v>3397</v>
      </c>
    </row>
    <row r="49" spans="1:9" s="217" customFormat="1">
      <c r="A49" s="217" t="s">
        <v>801</v>
      </c>
      <c r="F49" s="58"/>
      <c r="G49" s="78"/>
      <c r="H49" s="78"/>
      <c r="I49" s="58"/>
    </row>
    <row r="51" spans="1:9" ht="66.75" customHeight="1">
      <c r="A51" s="145" t="s">
        <v>163</v>
      </c>
      <c r="B51" s="145"/>
      <c r="C51" s="145"/>
      <c r="D51" s="145"/>
      <c r="E51" s="145"/>
      <c r="F51" s="145"/>
      <c r="G51" s="145"/>
      <c r="H51" s="145"/>
      <c r="I51" s="145"/>
    </row>
    <row r="53" spans="1:9">
      <c r="A53" t="s">
        <v>136</v>
      </c>
      <c r="F53" s="62">
        <f>I54</f>
        <v>4650</v>
      </c>
      <c r="G53" s="208"/>
      <c r="H53" s="208"/>
      <c r="I53" s="62"/>
    </row>
    <row r="54" spans="1:9">
      <c r="A54" t="s">
        <v>147</v>
      </c>
      <c r="F54" s="62"/>
      <c r="G54" s="208"/>
      <c r="H54" s="208"/>
      <c r="I54" s="62">
        <f>-VLOOKUP($A$7,'TNP Results'!$A$4:$AG$48,19,FALSE)</f>
        <v>4650</v>
      </c>
    </row>
    <row r="56" spans="1:9" ht="48.75" customHeight="1">
      <c r="A56" s="145" t="s">
        <v>164</v>
      </c>
      <c r="B56" s="145"/>
      <c r="C56" s="145"/>
      <c r="D56" s="145"/>
      <c r="E56" s="145"/>
      <c r="F56" s="145"/>
      <c r="G56" s="145"/>
      <c r="H56" s="145"/>
      <c r="I56" s="145"/>
    </row>
    <row r="58" spans="1:9">
      <c r="A58" t="s">
        <v>143</v>
      </c>
      <c r="F58" s="62">
        <f>VLOOKUP($A$7,'TNP Results'!$A$4:$AG$48,8,FALSE)</f>
        <v>4762.5</v>
      </c>
      <c r="G58" s="208"/>
      <c r="H58" s="208"/>
      <c r="I58" s="62"/>
    </row>
    <row r="59" spans="1:9">
      <c r="A59" t="s">
        <v>148</v>
      </c>
      <c r="F59" s="62"/>
      <c r="G59" s="208"/>
      <c r="H59" s="208"/>
      <c r="I59" s="62">
        <f>F58</f>
        <v>4762.5</v>
      </c>
    </row>
    <row r="61" spans="1:9" ht="15.75" thickBot="1"/>
    <row r="62" spans="1:9">
      <c r="A62" s="44" t="s">
        <v>149</v>
      </c>
      <c r="B62" s="45"/>
      <c r="C62" s="45"/>
      <c r="D62" s="45"/>
      <c r="E62" s="45"/>
      <c r="F62" s="98"/>
      <c r="G62" s="99"/>
      <c r="H62" s="99"/>
      <c r="I62" s="100">
        <f>I16+I27-F41+I48-F53</f>
        <v>288619</v>
      </c>
    </row>
    <row r="63" spans="1:9">
      <c r="A63" s="46" t="s">
        <v>150</v>
      </c>
      <c r="B63" s="47"/>
      <c r="C63" s="47"/>
      <c r="D63" s="47"/>
      <c r="E63" s="47"/>
      <c r="F63" s="101"/>
      <c r="G63" s="102"/>
      <c r="H63" s="102"/>
      <c r="I63" s="103">
        <f>VLOOKUP($A$7,'TNP Results'!$A$4:$AG$48,5,FALSE)</f>
        <v>288619</v>
      </c>
    </row>
    <row r="64" spans="1:9">
      <c r="A64" s="46"/>
      <c r="B64" s="47"/>
      <c r="C64" s="47"/>
      <c r="D64" s="47"/>
      <c r="E64" s="47"/>
      <c r="F64" s="101"/>
      <c r="G64" s="102"/>
      <c r="H64" s="102"/>
      <c r="I64" s="103">
        <f>I62-I63</f>
        <v>0</v>
      </c>
    </row>
    <row r="65" spans="1:9">
      <c r="A65" s="46" t="s">
        <v>151</v>
      </c>
      <c r="B65" s="47"/>
      <c r="C65" s="47"/>
      <c r="D65" s="47"/>
      <c r="E65" s="47"/>
      <c r="F65" s="101"/>
      <c r="G65" s="102"/>
      <c r="H65" s="102"/>
      <c r="I65" s="103">
        <f>I27-F41+I48-F53</f>
        <v>-13313</v>
      </c>
    </row>
    <row r="66" spans="1:9">
      <c r="A66" s="46" t="s">
        <v>152</v>
      </c>
      <c r="B66" s="47"/>
      <c r="C66" s="47"/>
      <c r="D66" s="47"/>
      <c r="E66" s="47"/>
      <c r="F66" s="101"/>
      <c r="G66" s="102"/>
      <c r="H66" s="102"/>
      <c r="I66" s="103">
        <f>VLOOKUP($A$7,'TNP Results'!$A$4:$AH$48,34,FALSE)</f>
        <v>-13313</v>
      </c>
    </row>
    <row r="67" spans="1:9">
      <c r="A67" s="46"/>
      <c r="B67" s="47"/>
      <c r="C67" s="47"/>
      <c r="D67" s="47"/>
      <c r="E67" s="47"/>
      <c r="F67" s="101"/>
      <c r="G67" s="102"/>
      <c r="H67" s="102"/>
      <c r="I67" s="103">
        <f>I65-I66</f>
        <v>0</v>
      </c>
    </row>
    <row r="68" spans="1:9">
      <c r="A68" s="46"/>
      <c r="B68" s="47"/>
      <c r="C68" s="47"/>
      <c r="D68" s="47"/>
      <c r="E68" s="47"/>
      <c r="F68" s="101"/>
      <c r="G68" s="102"/>
      <c r="H68" s="102"/>
      <c r="I68" s="103"/>
    </row>
    <row r="69" spans="1:9">
      <c r="A69" s="48" t="s">
        <v>153</v>
      </c>
      <c r="B69" s="47"/>
      <c r="C69" s="47"/>
      <c r="D69" s="47"/>
      <c r="E69" s="47"/>
      <c r="F69" s="101"/>
      <c r="G69" s="102"/>
      <c r="H69" s="102"/>
      <c r="I69" s="103"/>
    </row>
    <row r="70" spans="1:9">
      <c r="A70" s="46"/>
      <c r="B70" s="47"/>
      <c r="C70" s="47"/>
      <c r="D70" s="47"/>
      <c r="E70" s="47"/>
      <c r="F70" s="101"/>
      <c r="G70" s="102"/>
      <c r="H70" s="102"/>
      <c r="I70" s="103"/>
    </row>
    <row r="71" spans="1:9">
      <c r="A71" s="46" t="s">
        <v>154</v>
      </c>
      <c r="B71" s="47"/>
      <c r="C71" s="47"/>
      <c r="D71" s="47"/>
      <c r="E71" s="47"/>
      <c r="F71" s="101"/>
      <c r="G71" s="102"/>
      <c r="H71" s="102"/>
      <c r="I71" s="103"/>
    </row>
    <row r="72" spans="1:9" ht="15.75" thickBot="1">
      <c r="A72" s="49" t="s">
        <v>155</v>
      </c>
      <c r="B72" s="50"/>
      <c r="C72" s="50"/>
      <c r="D72" s="50"/>
      <c r="E72" s="50"/>
      <c r="F72" s="104"/>
      <c r="G72" s="105"/>
      <c r="H72" s="105"/>
      <c r="I72" s="106"/>
    </row>
  </sheetData>
  <mergeCells count="12">
    <mergeCell ref="A39:I39"/>
    <mergeCell ref="A45:I45"/>
    <mergeCell ref="A51:I51"/>
    <mergeCell ref="A56:I56"/>
    <mergeCell ref="A1:I1"/>
    <mergeCell ref="A9:I9"/>
    <mergeCell ref="A19:I19"/>
    <mergeCell ref="A24:I24"/>
    <mergeCell ref="A29:I29"/>
    <mergeCell ref="A34:I34"/>
    <mergeCell ref="A2:I2"/>
    <mergeCell ref="A4:I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'TNP Results'!$A$4:$A$48</xm:f>
          </x14:formula1>
          <xm:sqref>A7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4"/>
  <sheetViews>
    <sheetView workbookViewId="0">
      <pane ySplit="2" topLeftCell="A3" activePane="bottomLeft" state="frozen"/>
      <selection pane="bottomLeft" activeCell="B16" sqref="B16:I16"/>
    </sheetView>
  </sheetViews>
  <sheetFormatPr defaultRowHeight="15"/>
  <cols>
    <col min="1" max="1" width="11.28515625" style="7" customWidth="1"/>
    <col min="2" max="2" width="9.140625" style="1"/>
    <col min="3" max="3" width="10.7109375" style="1" customWidth="1"/>
    <col min="4" max="4" width="10.28515625" style="1" customWidth="1"/>
    <col min="5" max="5" width="9.85546875" style="1" bestFit="1" customWidth="1"/>
    <col min="6" max="6" width="11.42578125" style="1" customWidth="1"/>
    <col min="7" max="7" width="10.85546875" style="1" customWidth="1"/>
    <col min="8" max="8" width="10.7109375" style="1" bestFit="1" customWidth="1"/>
    <col min="9" max="9" width="9.7109375" style="1" customWidth="1"/>
    <col min="10" max="10" width="10.28515625" style="1" customWidth="1"/>
    <col min="11" max="11" width="18.28515625" style="1" customWidth="1"/>
    <col min="12" max="12" width="15.5703125" style="2" customWidth="1"/>
    <col min="13" max="13" width="36.28515625" style="77" customWidth="1"/>
    <col min="14" max="16384" width="9.140625" style="6"/>
  </cols>
  <sheetData>
    <row r="1" spans="1:13" customFormat="1">
      <c r="A1" s="41" t="s">
        <v>133</v>
      </c>
      <c r="F1" s="58"/>
      <c r="G1" s="6"/>
      <c r="H1" s="6"/>
      <c r="I1" s="58"/>
      <c r="M1" s="109"/>
    </row>
    <row r="2" spans="1:13" customFormat="1">
      <c r="A2" s="164" t="s">
        <v>849</v>
      </c>
      <c r="B2" s="164"/>
      <c r="C2" s="164"/>
      <c r="F2" s="59"/>
      <c r="G2" s="6"/>
      <c r="H2" s="6"/>
      <c r="I2" s="59"/>
      <c r="M2" s="109"/>
    </row>
    <row r="3" spans="1:13" customFormat="1">
      <c r="A3" s="6"/>
      <c r="F3" s="59"/>
      <c r="G3" s="6"/>
      <c r="H3" s="6"/>
      <c r="I3" s="59"/>
      <c r="M3" s="109"/>
    </row>
    <row r="4" spans="1:13" s="1" customFormat="1" ht="12.75">
      <c r="A4" s="167" t="s">
        <v>166</v>
      </c>
      <c r="B4" s="167"/>
      <c r="C4" s="167"/>
      <c r="D4" s="167"/>
      <c r="E4" s="167"/>
      <c r="F4" s="167"/>
      <c r="G4" s="167"/>
      <c r="H4" s="167"/>
      <c r="I4" s="167"/>
      <c r="L4" s="2"/>
      <c r="M4" s="54"/>
    </row>
    <row r="5" spans="1:13">
      <c r="A5" s="3" t="s">
        <v>0</v>
      </c>
      <c r="B5" s="4"/>
      <c r="C5" s="4"/>
      <c r="D5" s="4"/>
      <c r="E5" s="4"/>
      <c r="F5" s="4"/>
      <c r="G5" s="4"/>
      <c r="H5" s="4"/>
      <c r="I5" s="4"/>
      <c r="J5" s="4"/>
      <c r="K5" s="4"/>
      <c r="L5" s="5"/>
    </row>
    <row r="6" spans="1:13" ht="53.25" hidden="1" customHeight="1">
      <c r="B6" s="150" t="s">
        <v>1</v>
      </c>
      <c r="C6" s="150"/>
      <c r="D6" s="150"/>
      <c r="E6" s="150"/>
      <c r="F6" s="150"/>
      <c r="G6" s="150"/>
      <c r="H6" s="150"/>
      <c r="I6" s="150"/>
    </row>
    <row r="7" spans="1:13" hidden="1"/>
    <row r="8" spans="1:13">
      <c r="B8" s="1" t="s">
        <v>2</v>
      </c>
    </row>
    <row r="10" spans="1:13">
      <c r="A10" s="8"/>
      <c r="B10" s="4" t="s">
        <v>3</v>
      </c>
    </row>
    <row r="11" spans="1:13">
      <c r="A11" s="8" t="s">
        <v>4</v>
      </c>
      <c r="B11" s="150" t="s">
        <v>5</v>
      </c>
      <c r="C11" s="150"/>
      <c r="D11" s="150"/>
      <c r="E11" s="150"/>
      <c r="F11" s="150"/>
      <c r="G11" s="150"/>
      <c r="H11" s="150"/>
      <c r="I11" s="150"/>
      <c r="K11" s="1" t="s">
        <v>6</v>
      </c>
      <c r="L11" s="2">
        <v>146</v>
      </c>
    </row>
    <row r="12" spans="1:13">
      <c r="A12" s="8"/>
    </row>
    <row r="13" spans="1:13" ht="41.25" customHeight="1">
      <c r="A13" s="8" t="s">
        <v>4</v>
      </c>
      <c r="B13" s="150" t="s">
        <v>7</v>
      </c>
      <c r="C13" s="150"/>
      <c r="D13" s="150"/>
      <c r="E13" s="150"/>
      <c r="F13" s="150"/>
      <c r="G13" s="150"/>
      <c r="H13" s="150"/>
      <c r="I13" s="150"/>
      <c r="K13" s="1" t="s">
        <v>8</v>
      </c>
      <c r="L13" s="2">
        <v>161</v>
      </c>
    </row>
    <row r="14" spans="1:13">
      <c r="A14" s="8"/>
    </row>
    <row r="15" spans="1:13">
      <c r="A15" s="8"/>
      <c r="B15" s="4" t="s">
        <v>9</v>
      </c>
    </row>
    <row r="16" spans="1:13" s="1" customFormat="1" ht="36.75" customHeight="1">
      <c r="A16" s="8" t="s">
        <v>4</v>
      </c>
      <c r="B16" s="150" t="s">
        <v>10</v>
      </c>
      <c r="C16" s="150"/>
      <c r="D16" s="150"/>
      <c r="E16" s="150"/>
      <c r="F16" s="150"/>
      <c r="G16" s="150"/>
      <c r="H16" s="150"/>
      <c r="I16" s="150"/>
      <c r="K16" s="1" t="s">
        <v>8</v>
      </c>
      <c r="L16" s="2">
        <v>161</v>
      </c>
      <c r="M16" s="54"/>
    </row>
    <row r="17" spans="1:13" s="1" customFormat="1" ht="12.75">
      <c r="A17" s="8"/>
      <c r="B17" s="4"/>
      <c r="L17" s="2"/>
      <c r="M17" s="54"/>
    </row>
    <row r="18" spans="1:13" s="9" customFormat="1" ht="24.75" customHeight="1">
      <c r="A18" s="8" t="s">
        <v>4</v>
      </c>
      <c r="B18" s="150" t="s">
        <v>11</v>
      </c>
      <c r="C18" s="150"/>
      <c r="D18" s="150"/>
      <c r="E18" s="150"/>
      <c r="F18" s="150"/>
      <c r="G18" s="150"/>
      <c r="H18" s="150"/>
      <c r="I18" s="150"/>
      <c r="J18" s="1"/>
      <c r="K18" s="1" t="s">
        <v>6</v>
      </c>
      <c r="L18" s="2">
        <v>157</v>
      </c>
      <c r="M18" s="110"/>
    </row>
    <row r="19" spans="1:13">
      <c r="A19" s="8"/>
      <c r="B19" s="4"/>
    </row>
    <row r="20" spans="1:13" ht="26.25" customHeight="1">
      <c r="A20" s="8" t="s">
        <v>4</v>
      </c>
      <c r="B20" s="150" t="s">
        <v>12</v>
      </c>
      <c r="C20" s="150"/>
      <c r="D20" s="150"/>
      <c r="E20" s="150"/>
      <c r="F20" s="150"/>
      <c r="G20" s="150"/>
      <c r="H20" s="150"/>
      <c r="I20" s="150"/>
      <c r="K20" s="1" t="s">
        <v>6</v>
      </c>
      <c r="L20" s="2" t="s">
        <v>13</v>
      </c>
    </row>
    <row r="21" spans="1:13">
      <c r="A21" s="8"/>
      <c r="B21" s="4"/>
    </row>
    <row r="22" spans="1:13" ht="36.75" customHeight="1">
      <c r="A22" s="8">
        <v>1</v>
      </c>
      <c r="B22" s="150" t="s">
        <v>14</v>
      </c>
      <c r="C22" s="150"/>
      <c r="D22" s="150"/>
      <c r="E22" s="150"/>
      <c r="F22" s="150"/>
      <c r="G22" s="150"/>
      <c r="H22" s="150"/>
      <c r="I22" s="150"/>
      <c r="K22" s="1" t="s">
        <v>6</v>
      </c>
      <c r="L22" s="2" t="s">
        <v>15</v>
      </c>
    </row>
    <row r="23" spans="1:13">
      <c r="A23" s="8"/>
    </row>
    <row r="24" spans="1:13" ht="40.5" customHeight="1">
      <c r="A24" s="8">
        <v>2</v>
      </c>
      <c r="B24" s="150" t="s">
        <v>16</v>
      </c>
      <c r="C24" s="150"/>
      <c r="D24" s="150"/>
      <c r="E24" s="150"/>
      <c r="F24" s="150"/>
      <c r="G24" s="150"/>
      <c r="H24" s="150"/>
      <c r="I24" s="150"/>
      <c r="K24" s="1" t="s">
        <v>6</v>
      </c>
      <c r="L24" s="2" t="s">
        <v>17</v>
      </c>
    </row>
    <row r="25" spans="1:13">
      <c r="A25" s="8"/>
    </row>
    <row r="26" spans="1:13" ht="27.75" customHeight="1">
      <c r="A26" s="8">
        <v>3</v>
      </c>
      <c r="B26" s="150" t="s">
        <v>18</v>
      </c>
      <c r="C26" s="150"/>
      <c r="D26" s="150"/>
      <c r="E26" s="150"/>
      <c r="F26" s="150"/>
      <c r="G26" s="150"/>
      <c r="H26" s="150"/>
      <c r="I26" s="150"/>
      <c r="K26" s="1" t="s">
        <v>6</v>
      </c>
      <c r="L26" s="2">
        <v>158</v>
      </c>
    </row>
    <row r="27" spans="1:13">
      <c r="A27" s="8"/>
    </row>
    <row r="28" spans="1:13">
      <c r="A28" s="8"/>
      <c r="B28" s="4" t="s">
        <v>19</v>
      </c>
    </row>
    <row r="29" spans="1:13">
      <c r="A29" s="8">
        <v>1</v>
      </c>
      <c r="B29" s="150" t="s">
        <v>20</v>
      </c>
      <c r="C29" s="150"/>
      <c r="D29" s="150"/>
      <c r="E29" s="150"/>
      <c r="F29" s="150"/>
      <c r="G29" s="150"/>
      <c r="H29" s="150"/>
      <c r="I29" s="150"/>
      <c r="K29" s="1" t="s">
        <v>6</v>
      </c>
      <c r="L29" s="2" t="s">
        <v>15</v>
      </c>
    </row>
    <row r="30" spans="1:13">
      <c r="A30" s="8"/>
    </row>
    <row r="31" spans="1:13">
      <c r="A31" s="8">
        <v>2</v>
      </c>
      <c r="B31" s="150" t="s">
        <v>21</v>
      </c>
      <c r="C31" s="150"/>
      <c r="D31" s="150"/>
      <c r="E31" s="150"/>
      <c r="F31" s="150"/>
      <c r="G31" s="150"/>
      <c r="H31" s="150"/>
      <c r="I31" s="150"/>
      <c r="K31" s="1" t="s">
        <v>6</v>
      </c>
      <c r="L31" s="2" t="s">
        <v>17</v>
      </c>
    </row>
    <row r="32" spans="1:13">
      <c r="A32" s="8"/>
    </row>
    <row r="33" spans="1:13">
      <c r="A33" s="8">
        <v>3</v>
      </c>
      <c r="B33" s="150" t="s">
        <v>22</v>
      </c>
      <c r="C33" s="150"/>
      <c r="D33" s="150"/>
      <c r="E33" s="150"/>
      <c r="F33" s="150"/>
      <c r="G33" s="150"/>
      <c r="H33" s="150"/>
      <c r="I33" s="150"/>
      <c r="K33" s="1" t="s">
        <v>6</v>
      </c>
      <c r="L33" s="2">
        <v>159</v>
      </c>
    </row>
    <row r="34" spans="1:13">
      <c r="A34" s="8"/>
    </row>
    <row r="35" spans="1:13" ht="39" customHeight="1">
      <c r="A35" s="8">
        <v>4</v>
      </c>
      <c r="B35" s="150" t="s">
        <v>23</v>
      </c>
      <c r="C35" s="150"/>
      <c r="D35" s="150"/>
      <c r="E35" s="150"/>
      <c r="F35" s="150"/>
      <c r="G35" s="150"/>
      <c r="H35" s="150"/>
      <c r="I35" s="150"/>
      <c r="K35" s="1" t="s">
        <v>6</v>
      </c>
      <c r="L35" s="2">
        <v>159</v>
      </c>
    </row>
    <row r="36" spans="1:13">
      <c r="A36" s="8"/>
    </row>
    <row r="38" spans="1:13">
      <c r="A38" s="4" t="s">
        <v>24</v>
      </c>
      <c r="B38" s="4"/>
    </row>
    <row r="40" spans="1:13">
      <c r="A40" s="4" t="s">
        <v>25</v>
      </c>
      <c r="B40" s="4"/>
      <c r="M40" s="111" t="s">
        <v>760</v>
      </c>
    </row>
    <row r="41" spans="1:13">
      <c r="A41" s="4"/>
      <c r="B41" s="4"/>
    </row>
    <row r="42" spans="1:13" ht="54" customHeight="1">
      <c r="A42" s="150" t="s">
        <v>26</v>
      </c>
      <c r="B42" s="150"/>
      <c r="C42" s="150"/>
      <c r="D42" s="150"/>
      <c r="E42" s="150"/>
      <c r="F42" s="150"/>
      <c r="G42" s="150"/>
      <c r="H42" s="150"/>
      <c r="I42" s="150"/>
      <c r="L42" s="2">
        <v>162</v>
      </c>
    </row>
    <row r="43" spans="1:13">
      <c r="A43" s="1"/>
    </row>
    <row r="44" spans="1:13">
      <c r="A44" s="4" t="s">
        <v>748</v>
      </c>
      <c r="B44" s="4"/>
    </row>
    <row r="45" spans="1:13">
      <c r="A45" s="4"/>
      <c r="B45" s="4"/>
    </row>
    <row r="46" spans="1:13">
      <c r="A46" s="10" t="s">
        <v>27</v>
      </c>
      <c r="B46" s="10"/>
    </row>
    <row r="48" spans="1:13" ht="96.75" customHeight="1">
      <c r="A48" s="178" t="s">
        <v>902</v>
      </c>
      <c r="B48" s="178"/>
      <c r="C48" s="178"/>
      <c r="D48" s="178"/>
      <c r="E48" s="178"/>
      <c r="F48" s="178"/>
      <c r="G48" s="178"/>
      <c r="H48" s="178"/>
      <c r="I48" s="178"/>
      <c r="L48" s="2" t="s">
        <v>28</v>
      </c>
      <c r="M48" s="77" t="s">
        <v>809</v>
      </c>
    </row>
    <row r="49" spans="1:18">
      <c r="B49" s="11"/>
      <c r="C49" s="11"/>
      <c r="D49" s="11"/>
      <c r="E49" s="11"/>
      <c r="F49" s="11"/>
      <c r="G49" s="11"/>
      <c r="H49" s="11"/>
      <c r="I49" s="11"/>
    </row>
    <row r="50" spans="1:18" ht="148.5" customHeight="1">
      <c r="A50" s="163" t="s">
        <v>805</v>
      </c>
      <c r="B50" s="163"/>
      <c r="C50" s="163"/>
      <c r="D50" s="163"/>
      <c r="E50" s="163"/>
      <c r="F50" s="163"/>
      <c r="G50" s="163"/>
      <c r="H50" s="163"/>
      <c r="I50" s="163"/>
      <c r="L50" s="2" t="s">
        <v>29</v>
      </c>
      <c r="M50" s="77" t="s">
        <v>810</v>
      </c>
    </row>
    <row r="52" spans="1:18" ht="33" customHeight="1">
      <c r="A52" s="150" t="s">
        <v>806</v>
      </c>
      <c r="B52" s="150"/>
      <c r="C52" s="150"/>
      <c r="D52" s="150"/>
      <c r="E52" s="150"/>
      <c r="F52" s="150"/>
      <c r="G52" s="150"/>
      <c r="H52" s="150"/>
      <c r="I52" s="150"/>
      <c r="L52" s="2" t="s">
        <v>30</v>
      </c>
    </row>
    <row r="54" spans="1:18">
      <c r="G54" s="12"/>
      <c r="I54" s="12"/>
    </row>
    <row r="55" spans="1:18" ht="30">
      <c r="A55" s="163" t="s">
        <v>751</v>
      </c>
      <c r="B55" s="163"/>
      <c r="C55" s="163"/>
      <c r="D55" s="163"/>
      <c r="E55" s="163"/>
      <c r="G55" s="62">
        <f>VLOOKUP($A$2,'LGOP Results'!$A:$BA,2,FALSE)</f>
        <v>7</v>
      </c>
      <c r="I55" s="13"/>
      <c r="M55" s="199" t="s">
        <v>811</v>
      </c>
    </row>
    <row r="56" spans="1:18">
      <c r="I56" s="13"/>
      <c r="M56" s="199"/>
    </row>
    <row r="57" spans="1:18" ht="27.75" customHeight="1">
      <c r="A57" s="163" t="s">
        <v>752</v>
      </c>
      <c r="B57" s="163"/>
      <c r="C57" s="163"/>
      <c r="D57" s="163"/>
      <c r="E57" s="163"/>
      <c r="G57" s="62">
        <f>VLOOKUP($A$2,'LGOP Results'!$A:$BA,3,FALSE)</f>
        <v>0</v>
      </c>
      <c r="I57" s="13"/>
      <c r="M57" s="199" t="s">
        <v>820</v>
      </c>
    </row>
    <row r="58" spans="1:18">
      <c r="I58" s="13"/>
      <c r="M58" s="199"/>
    </row>
    <row r="59" spans="1:18">
      <c r="A59" s="163" t="s">
        <v>31</v>
      </c>
      <c r="B59" s="163"/>
      <c r="C59" s="163"/>
      <c r="D59" s="163"/>
      <c r="E59" s="163"/>
      <c r="G59" s="14">
        <f>VLOOKUP($A$2,'LGOP Results'!$A:$BA,5,FALSE)</f>
        <v>74</v>
      </c>
      <c r="I59" s="13"/>
      <c r="M59" s="199" t="s">
        <v>820</v>
      </c>
    </row>
    <row r="60" spans="1:18" ht="15.75" thickBot="1">
      <c r="A60" s="7" t="s">
        <v>92</v>
      </c>
      <c r="G60" s="15">
        <f>G55+G57+G59</f>
        <v>81</v>
      </c>
      <c r="I60" s="13"/>
    </row>
    <row r="61" spans="1:18" ht="15.75" thickTop="1">
      <c r="I61" s="13"/>
    </row>
    <row r="62" spans="1:18" ht="57.75" customHeight="1">
      <c r="A62" s="150" t="s">
        <v>749</v>
      </c>
      <c r="B62" s="150"/>
      <c r="C62" s="150"/>
      <c r="D62" s="150"/>
      <c r="E62" s="150"/>
      <c r="F62" s="150"/>
      <c r="G62" s="150"/>
      <c r="H62" s="150"/>
      <c r="I62" s="150"/>
      <c r="L62" s="2" t="s">
        <v>32</v>
      </c>
      <c r="M62" s="77" t="s">
        <v>901</v>
      </c>
    </row>
    <row r="63" spans="1:18" ht="15.75" thickBot="1"/>
    <row r="64" spans="1:18">
      <c r="A64" s="63" t="s">
        <v>754</v>
      </c>
      <c r="B64" s="64"/>
      <c r="C64" s="64"/>
      <c r="D64" s="64"/>
      <c r="E64" s="64"/>
      <c r="F64" s="64"/>
      <c r="G64" s="64"/>
      <c r="H64" s="64"/>
      <c r="I64" s="65"/>
      <c r="J64" s="75"/>
      <c r="K64" s="75"/>
      <c r="L64" s="76"/>
      <c r="N64" s="78"/>
      <c r="O64" s="78"/>
      <c r="P64" s="78"/>
      <c r="Q64" s="78"/>
      <c r="R64" s="78"/>
    </row>
    <row r="65" spans="1:18" ht="45">
      <c r="A65" s="66" t="s">
        <v>753</v>
      </c>
      <c r="B65" s="67"/>
      <c r="C65" s="67"/>
      <c r="D65" s="70">
        <f>VLOOKUP($A$2,'LGOP Results'!$A:$BA,9,FALSE)/1000</f>
        <v>68.551090000000002</v>
      </c>
      <c r="E65" s="67"/>
      <c r="F65" s="67"/>
      <c r="G65" s="67"/>
      <c r="H65" s="67"/>
      <c r="I65" s="68"/>
      <c r="J65" s="75"/>
      <c r="K65" s="75"/>
      <c r="L65" s="76"/>
      <c r="M65" s="77" t="s">
        <v>812</v>
      </c>
      <c r="N65" s="78"/>
      <c r="O65" s="78"/>
      <c r="P65" s="78"/>
      <c r="Q65" s="78"/>
      <c r="R65" s="78"/>
    </row>
    <row r="66" spans="1:18" ht="15.75" thickBot="1">
      <c r="A66" s="74"/>
      <c r="B66" s="69"/>
      <c r="C66" s="69"/>
      <c r="D66" s="69"/>
      <c r="E66" s="69"/>
      <c r="F66" s="69"/>
      <c r="G66" s="69"/>
      <c r="H66" s="69"/>
      <c r="I66" s="73"/>
      <c r="J66" s="75"/>
      <c r="K66" s="75"/>
      <c r="L66" s="76"/>
      <c r="N66" s="78"/>
      <c r="O66" s="78"/>
      <c r="P66" s="78"/>
      <c r="Q66" s="78"/>
      <c r="R66" s="78"/>
    </row>
    <row r="67" spans="1:18">
      <c r="A67" s="80"/>
      <c r="B67" s="75"/>
      <c r="C67" s="75"/>
      <c r="D67" s="75"/>
      <c r="E67" s="75"/>
      <c r="F67" s="75"/>
      <c r="G67" s="75"/>
      <c r="H67" s="75"/>
      <c r="I67" s="75"/>
      <c r="J67" s="75"/>
      <c r="K67" s="75"/>
      <c r="L67" s="76"/>
      <c r="N67" s="78"/>
      <c r="O67" s="78"/>
      <c r="P67" s="78"/>
      <c r="Q67" s="78"/>
      <c r="R67" s="78"/>
    </row>
    <row r="68" spans="1:18">
      <c r="A68" s="10" t="s">
        <v>33</v>
      </c>
    </row>
    <row r="70" spans="1:18" ht="54.75" customHeight="1">
      <c r="A70" s="150" t="s">
        <v>34</v>
      </c>
      <c r="B70" s="150"/>
      <c r="C70" s="150"/>
      <c r="D70" s="150"/>
      <c r="E70" s="150"/>
      <c r="F70" s="150"/>
      <c r="G70" s="150"/>
      <c r="H70" s="150"/>
      <c r="I70" s="150"/>
      <c r="J70" s="13"/>
      <c r="L70" s="2" t="s">
        <v>35</v>
      </c>
      <c r="M70" s="77" t="s">
        <v>809</v>
      </c>
    </row>
    <row r="71" spans="1:18">
      <c r="A71" s="1"/>
      <c r="J71" s="13"/>
    </row>
    <row r="72" spans="1:18" ht="30">
      <c r="A72" s="1"/>
      <c r="B72" s="1" t="s">
        <v>36</v>
      </c>
      <c r="E72" s="162">
        <v>2.2499999999999999E-2</v>
      </c>
      <c r="F72" s="162"/>
      <c r="G72" s="162"/>
      <c r="H72" s="162"/>
      <c r="J72" s="13"/>
      <c r="M72" s="112" t="s">
        <v>813</v>
      </c>
    </row>
    <row r="73" spans="1:18" ht="32.25" customHeight="1">
      <c r="A73" s="1"/>
      <c r="B73" s="7" t="s">
        <v>37</v>
      </c>
      <c r="E73" s="159" t="s">
        <v>38</v>
      </c>
      <c r="F73" s="159"/>
      <c r="G73" s="159"/>
      <c r="H73" s="159"/>
      <c r="J73" s="13"/>
      <c r="M73" s="112" t="s">
        <v>820</v>
      </c>
    </row>
    <row r="74" spans="1:18" ht="37.5" customHeight="1">
      <c r="A74" s="1"/>
      <c r="B74" s="7" t="s">
        <v>39</v>
      </c>
      <c r="E74" s="160" t="s">
        <v>814</v>
      </c>
      <c r="F74" s="160"/>
      <c r="G74" s="160"/>
      <c r="H74" s="160"/>
      <c r="J74" s="13"/>
      <c r="M74" s="112" t="s">
        <v>820</v>
      </c>
    </row>
    <row r="75" spans="1:18" s="1" customFormat="1" ht="64.5" customHeight="1">
      <c r="B75" s="161" t="s">
        <v>40</v>
      </c>
      <c r="C75" s="161"/>
      <c r="D75" s="161"/>
      <c r="E75" s="150" t="s">
        <v>41</v>
      </c>
      <c r="F75" s="150"/>
      <c r="G75" s="150"/>
      <c r="H75" s="150"/>
      <c r="J75" s="13"/>
      <c r="L75" s="2"/>
      <c r="M75" s="77" t="s">
        <v>821</v>
      </c>
    </row>
    <row r="76" spans="1:18">
      <c r="A76" s="1"/>
      <c r="J76" s="13"/>
    </row>
    <row r="77" spans="1:18">
      <c r="A77" s="1"/>
      <c r="J77" s="13"/>
    </row>
    <row r="78" spans="1:18" ht="143.25" customHeight="1">
      <c r="A78" s="150" t="s">
        <v>42</v>
      </c>
      <c r="B78" s="150"/>
      <c r="C78" s="150"/>
      <c r="D78" s="150"/>
      <c r="E78" s="150"/>
      <c r="F78" s="150"/>
      <c r="G78" s="150"/>
      <c r="H78" s="150"/>
      <c r="I78" s="150"/>
      <c r="J78" s="13"/>
      <c r="L78" s="2">
        <v>166</v>
      </c>
      <c r="M78" s="77" t="s">
        <v>822</v>
      </c>
    </row>
    <row r="79" spans="1:18">
      <c r="A79" s="1"/>
      <c r="J79" s="13"/>
    </row>
    <row r="80" spans="1:18" ht="47.25" customHeight="1">
      <c r="A80" s="150" t="s">
        <v>43</v>
      </c>
      <c r="B80" s="150"/>
      <c r="C80" s="150"/>
      <c r="D80" s="150"/>
      <c r="E80" s="150"/>
      <c r="F80" s="150"/>
      <c r="G80" s="150"/>
      <c r="H80" s="150"/>
      <c r="I80" s="150"/>
      <c r="J80" s="13"/>
      <c r="L80" s="2">
        <v>166</v>
      </c>
      <c r="M80" s="77" t="s">
        <v>813</v>
      </c>
    </row>
    <row r="81" spans="1:13">
      <c r="A81" s="16"/>
      <c r="B81" s="16"/>
      <c r="C81" s="16"/>
      <c r="D81" s="16"/>
      <c r="E81" s="16"/>
      <c r="F81" s="16"/>
      <c r="G81" s="16"/>
      <c r="H81" s="16"/>
      <c r="I81" s="16"/>
      <c r="J81" s="17"/>
      <c r="K81" s="16"/>
      <c r="L81" s="18"/>
    </row>
    <row r="82" spans="1:13">
      <c r="A82" s="10" t="s">
        <v>44</v>
      </c>
      <c r="J82" s="13"/>
      <c r="L82" s="2">
        <v>168</v>
      </c>
    </row>
    <row r="83" spans="1:13">
      <c r="A83" s="1"/>
      <c r="J83" s="13"/>
    </row>
    <row r="84" spans="1:13">
      <c r="A84" s="165" t="s">
        <v>755</v>
      </c>
      <c r="B84" s="165"/>
      <c r="C84" s="165"/>
      <c r="F84" s="13"/>
      <c r="J84" s="13"/>
    </row>
    <row r="85" spans="1:13" ht="39">
      <c r="A85" s="1"/>
      <c r="F85" s="19" t="s">
        <v>45</v>
      </c>
      <c r="G85" s="12"/>
      <c r="H85" s="12"/>
      <c r="I85" s="12"/>
      <c r="J85" s="13"/>
    </row>
    <row r="86" spans="1:13" ht="30">
      <c r="A86" s="1" t="s">
        <v>46</v>
      </c>
      <c r="F86" s="20">
        <f>VLOOKUP($A$2,'LGOP Results'!$A:$BA,7,FALSE)/1000</f>
        <v>1166.0419999999999</v>
      </c>
      <c r="G86" s="21"/>
      <c r="H86" s="21"/>
      <c r="J86" s="13"/>
      <c r="L86" s="2" t="s">
        <v>47</v>
      </c>
      <c r="M86" s="112" t="s">
        <v>819</v>
      </c>
    </row>
    <row r="87" spans="1:13">
      <c r="A87" s="1" t="s">
        <v>48</v>
      </c>
      <c r="G87" s="13"/>
      <c r="H87" s="13"/>
      <c r="J87" s="13"/>
      <c r="M87" s="112"/>
    </row>
    <row r="88" spans="1:13">
      <c r="A88" s="22" t="s">
        <v>49</v>
      </c>
      <c r="F88" s="23">
        <f>VLOOKUP($A$2,'LGOP Results'!$A:$BA,15,FALSE)/1000</f>
        <v>53.656999999999996</v>
      </c>
      <c r="G88" s="24"/>
      <c r="H88" s="24"/>
      <c r="J88" s="13"/>
      <c r="L88" s="2" t="s">
        <v>50</v>
      </c>
      <c r="M88" s="112" t="s">
        <v>820</v>
      </c>
    </row>
    <row r="89" spans="1:13">
      <c r="A89" s="22" t="s">
        <v>51</v>
      </c>
      <c r="F89" s="23">
        <f>VLOOKUP($A$2,'LGOP Results'!$A:$BA,16,FALSE)/1000</f>
        <v>34.591999999999999</v>
      </c>
      <c r="G89" s="24"/>
      <c r="H89" s="24"/>
      <c r="J89" s="13"/>
      <c r="L89" s="2" t="s">
        <v>52</v>
      </c>
      <c r="M89" s="112" t="s">
        <v>820</v>
      </c>
    </row>
    <row r="90" spans="1:13">
      <c r="A90" s="22" t="s">
        <v>53</v>
      </c>
      <c r="F90" s="23">
        <f>VLOOKUP($A$2,'LGOP Results'!$A:$BA,17,FALSE)/1000</f>
        <v>0</v>
      </c>
      <c r="G90" s="24"/>
      <c r="H90" s="24"/>
      <c r="J90" s="13"/>
      <c r="L90" s="2" t="s">
        <v>54</v>
      </c>
      <c r="M90" s="112" t="s">
        <v>820</v>
      </c>
    </row>
    <row r="91" spans="1:13">
      <c r="A91" s="22" t="s">
        <v>55</v>
      </c>
      <c r="F91" s="23">
        <f>VLOOKUP($A$2,'LGOP Results'!$A:$BA,18,FALSE)/1000</f>
        <v>0</v>
      </c>
      <c r="G91" s="24"/>
      <c r="H91" s="24"/>
      <c r="J91" s="13"/>
      <c r="L91" s="2" t="s">
        <v>56</v>
      </c>
      <c r="M91" s="112" t="s">
        <v>820</v>
      </c>
    </row>
    <row r="92" spans="1:13">
      <c r="A92" s="22" t="s">
        <v>57</v>
      </c>
      <c r="F92" s="23">
        <f>VLOOKUP($A$2,'LGOP Results'!$A:$BA,19,FALSE)/1000</f>
        <v>-41.353999999999999</v>
      </c>
      <c r="G92" s="24"/>
      <c r="H92" s="24"/>
      <c r="J92" s="13"/>
      <c r="L92" s="2" t="s">
        <v>58</v>
      </c>
      <c r="M92" s="112" t="s">
        <v>820</v>
      </c>
    </row>
    <row r="93" spans="1:13">
      <c r="A93" s="22" t="s">
        <v>59</v>
      </c>
      <c r="F93" s="23">
        <f>-VLOOKUP($A$2,'LGOP Results'!$A:$BA,20,FALSE)/1000</f>
        <v>-70.067999999999998</v>
      </c>
      <c r="G93" s="24"/>
      <c r="H93" s="24"/>
      <c r="J93" s="13"/>
      <c r="L93" s="2" t="s">
        <v>60</v>
      </c>
      <c r="M93" s="112" t="s">
        <v>820</v>
      </c>
    </row>
    <row r="94" spans="1:13">
      <c r="A94" s="1"/>
      <c r="B94" s="1" t="s">
        <v>61</v>
      </c>
      <c r="F94" s="25">
        <f>SUM(F87:F93)</f>
        <v>-23.173000000000002</v>
      </c>
      <c r="G94" s="24"/>
      <c r="H94" s="24"/>
      <c r="J94" s="13"/>
      <c r="M94" s="112"/>
    </row>
    <row r="95" spans="1:13" ht="15.75" thickBot="1">
      <c r="A95" s="1" t="s">
        <v>62</v>
      </c>
      <c r="F95" s="26">
        <f>F86+F94</f>
        <v>1142.8689999999999</v>
      </c>
      <c r="G95" s="21"/>
      <c r="H95" s="21"/>
      <c r="J95" s="13"/>
      <c r="L95" s="2" t="s">
        <v>63</v>
      </c>
      <c r="M95" s="112" t="s">
        <v>820</v>
      </c>
    </row>
    <row r="96" spans="1:13" ht="16.5" thickTop="1" thickBot="1">
      <c r="A96" s="1"/>
      <c r="G96" s="13"/>
      <c r="H96" s="13"/>
      <c r="J96" s="13"/>
    </row>
    <row r="97" spans="1:13" s="78" customFormat="1">
      <c r="A97" s="63" t="s">
        <v>754</v>
      </c>
      <c r="B97" s="64"/>
      <c r="C97" s="64"/>
      <c r="D97" s="64"/>
      <c r="E97" s="64"/>
      <c r="F97" s="64"/>
      <c r="G97" s="64"/>
      <c r="H97" s="64"/>
      <c r="I97" s="65"/>
      <c r="J97" s="75"/>
      <c r="K97" s="75"/>
      <c r="L97" s="76"/>
      <c r="M97" s="77"/>
    </row>
    <row r="98" spans="1:13" s="78" customFormat="1" ht="30">
      <c r="A98" s="66" t="s">
        <v>756</v>
      </c>
      <c r="B98" s="67"/>
      <c r="C98" s="67"/>
      <c r="D98" s="70">
        <f>VLOOKUP($A$2,'LGOP Results'!$A:$BA,6,FALSE)/1000</f>
        <v>1142.8689999999999</v>
      </c>
      <c r="E98" s="67"/>
      <c r="F98" s="67"/>
      <c r="G98" s="67"/>
      <c r="H98" s="67"/>
      <c r="I98" s="68"/>
      <c r="J98" s="75"/>
      <c r="K98" s="75"/>
      <c r="L98" s="76"/>
      <c r="M98" s="113" t="s">
        <v>819</v>
      </c>
    </row>
    <row r="99" spans="1:13" s="78" customFormat="1" ht="15.75" thickBot="1">
      <c r="A99" s="74"/>
      <c r="B99" s="69"/>
      <c r="C99" s="69"/>
      <c r="D99" s="69"/>
      <c r="E99" s="69"/>
      <c r="F99" s="69"/>
      <c r="G99" s="69"/>
      <c r="H99" s="69"/>
      <c r="I99" s="73"/>
      <c r="J99" s="75"/>
      <c r="K99" s="75"/>
      <c r="L99" s="76"/>
      <c r="M99" s="77"/>
    </row>
    <row r="100" spans="1:13" s="78" customFormat="1">
      <c r="A100" s="71"/>
      <c r="B100" s="79"/>
      <c r="C100" s="79"/>
      <c r="D100" s="79"/>
      <c r="E100" s="79"/>
      <c r="F100" s="79"/>
      <c r="G100" s="79"/>
      <c r="H100" s="79"/>
      <c r="I100" s="79"/>
      <c r="J100" s="75"/>
      <c r="K100" s="75"/>
      <c r="L100" s="76"/>
      <c r="M100" s="77"/>
    </row>
    <row r="101" spans="1:13" ht="27" customHeight="1">
      <c r="A101" s="150" t="s">
        <v>64</v>
      </c>
      <c r="B101" s="150"/>
      <c r="C101" s="150"/>
      <c r="D101" s="150"/>
      <c r="E101" s="150"/>
      <c r="F101" s="150"/>
      <c r="G101" s="150"/>
      <c r="H101" s="150"/>
      <c r="I101" s="150"/>
      <c r="J101" s="13"/>
      <c r="L101" s="2" t="s">
        <v>65</v>
      </c>
      <c r="M101" s="77" t="s">
        <v>813</v>
      </c>
    </row>
    <row r="102" spans="1:13">
      <c r="A102" s="1"/>
      <c r="J102" s="13"/>
    </row>
    <row r="103" spans="1:13" ht="30.75" hidden="1" customHeight="1">
      <c r="A103" s="150" t="s">
        <v>66</v>
      </c>
      <c r="B103" s="150"/>
      <c r="C103" s="150"/>
      <c r="D103" s="150"/>
      <c r="E103" s="150"/>
      <c r="F103" s="150"/>
      <c r="G103" s="150"/>
      <c r="H103" s="150"/>
      <c r="I103" s="150"/>
      <c r="J103" s="13"/>
      <c r="L103" s="2" t="s">
        <v>67</v>
      </c>
      <c r="M103" s="77" t="s">
        <v>68</v>
      </c>
    </row>
    <row r="104" spans="1:13" hidden="1">
      <c r="A104" s="1"/>
      <c r="J104" s="13"/>
    </row>
    <row r="105" spans="1:13" ht="31.5" hidden="1" customHeight="1">
      <c r="A105" s="150" t="s">
        <v>69</v>
      </c>
      <c r="B105" s="150"/>
      <c r="C105" s="150"/>
      <c r="D105" s="150"/>
      <c r="E105" s="150"/>
      <c r="F105" s="150"/>
      <c r="G105" s="150"/>
      <c r="H105" s="150"/>
      <c r="I105" s="150"/>
      <c r="J105" s="13"/>
      <c r="L105" s="2" t="s">
        <v>70</v>
      </c>
      <c r="M105" s="77" t="s">
        <v>68</v>
      </c>
    </row>
    <row r="106" spans="1:13" hidden="1">
      <c r="A106" s="1"/>
      <c r="J106" s="13"/>
    </row>
    <row r="107" spans="1:13" ht="48" hidden="1" customHeight="1">
      <c r="A107" s="150" t="s">
        <v>71</v>
      </c>
      <c r="B107" s="150"/>
      <c r="C107" s="150"/>
      <c r="D107" s="150"/>
      <c r="E107" s="150"/>
      <c r="F107" s="150"/>
      <c r="G107" s="150"/>
      <c r="H107" s="150"/>
      <c r="I107" s="150"/>
      <c r="J107" s="13"/>
      <c r="L107" s="2" t="s">
        <v>72</v>
      </c>
      <c r="M107" s="77" t="s">
        <v>68</v>
      </c>
    </row>
    <row r="108" spans="1:13" hidden="1">
      <c r="A108" s="1"/>
      <c r="J108" s="13"/>
    </row>
    <row r="109" spans="1:13" ht="51.75" customHeight="1">
      <c r="A109" s="150" t="s">
        <v>757</v>
      </c>
      <c r="B109" s="150"/>
      <c r="C109" s="150"/>
      <c r="D109" s="150"/>
      <c r="E109" s="150"/>
      <c r="F109" s="150"/>
      <c r="G109" s="150"/>
      <c r="H109" s="150"/>
      <c r="I109" s="151"/>
      <c r="J109" s="13"/>
      <c r="L109" s="2" t="s">
        <v>73</v>
      </c>
      <c r="M109" s="77" t="s">
        <v>809</v>
      </c>
    </row>
    <row r="110" spans="1:13">
      <c r="A110" s="1"/>
      <c r="J110" s="13"/>
    </row>
    <row r="111" spans="1:13" ht="26.25" customHeight="1">
      <c r="A111" s="1"/>
      <c r="D111" s="157" t="s">
        <v>74</v>
      </c>
      <c r="E111" s="158"/>
      <c r="F111" s="157" t="s">
        <v>75</v>
      </c>
      <c r="G111" s="158"/>
      <c r="H111" s="157" t="s">
        <v>76</v>
      </c>
      <c r="I111" s="158"/>
      <c r="J111" s="13"/>
      <c r="M111" s="149" t="s">
        <v>823</v>
      </c>
    </row>
    <row r="112" spans="1:13">
      <c r="A112" s="1" t="s">
        <v>77</v>
      </c>
      <c r="D112" s="27" t="s">
        <v>78</v>
      </c>
      <c r="E112" s="23">
        <f>VLOOKUP($A$2,'LGOP Results'!$A:$BA,11,FALSE)/1000</f>
        <v>1207.6780000000001</v>
      </c>
      <c r="F112" s="27" t="s">
        <v>78</v>
      </c>
      <c r="G112" s="23">
        <f>VLOOKUP($A$2,'LGOP Results'!$A:$BA,6,FALSE)/1000</f>
        <v>1142.8689999999999</v>
      </c>
      <c r="H112" s="27" t="s">
        <v>78</v>
      </c>
      <c r="I112" s="23">
        <f>VLOOKUP($A$2,'LGOP Results'!$A:$BA,12,FALSE)/1000</f>
        <v>1079.816</v>
      </c>
      <c r="J112" s="13"/>
      <c r="M112" s="149"/>
    </row>
    <row r="113" spans="1:13">
      <c r="A113" s="1"/>
      <c r="E113" s="23"/>
      <c r="G113" s="23"/>
      <c r="I113" s="23"/>
      <c r="J113" s="13"/>
    </row>
    <row r="114" spans="1:13" ht="60" customHeight="1">
      <c r="A114" s="150" t="s">
        <v>818</v>
      </c>
      <c r="B114" s="150"/>
      <c r="C114" s="150"/>
      <c r="D114" s="150"/>
      <c r="E114" s="150"/>
      <c r="F114" s="150"/>
      <c r="G114" s="150"/>
      <c r="H114" s="150"/>
      <c r="I114" s="151"/>
      <c r="J114" s="13"/>
      <c r="L114" s="2" t="s">
        <v>79</v>
      </c>
      <c r="M114" s="77" t="s">
        <v>809</v>
      </c>
    </row>
    <row r="115" spans="1:13">
      <c r="A115" s="1"/>
      <c r="J115" s="13"/>
    </row>
    <row r="116" spans="1:13" ht="70.5" customHeight="1">
      <c r="A116" s="1"/>
      <c r="D116" s="157" t="s">
        <v>816</v>
      </c>
      <c r="E116" s="158"/>
      <c r="F116" s="157" t="s">
        <v>815</v>
      </c>
      <c r="G116" s="158"/>
      <c r="H116" s="157" t="s">
        <v>817</v>
      </c>
      <c r="I116" s="158"/>
      <c r="J116" s="13"/>
      <c r="M116" s="149" t="s">
        <v>824</v>
      </c>
    </row>
    <row r="117" spans="1:13" ht="15.75" customHeight="1">
      <c r="A117" s="1" t="s">
        <v>77</v>
      </c>
      <c r="D117" s="27" t="s">
        <v>78</v>
      </c>
      <c r="E117" s="23">
        <f>VLOOKUP($A$2,'LGOP Results'!$A:$BA,13,FALSE)/1000</f>
        <v>1045.4269999999999</v>
      </c>
      <c r="F117" s="27" t="s">
        <v>78</v>
      </c>
      <c r="G117" s="23">
        <f>VLOOKUP($A$2,'LGOP Results'!$A:$BA,6,FALSE)/1000</f>
        <v>1142.8689999999999</v>
      </c>
      <c r="H117" s="27" t="s">
        <v>78</v>
      </c>
      <c r="I117" s="23">
        <f>VLOOKUP($A$2,'LGOP Results'!$A:$BA,14,FALSE)/1000</f>
        <v>1254.9110000000001</v>
      </c>
      <c r="J117" s="13"/>
      <c r="M117" s="149"/>
    </row>
    <row r="118" spans="1:13">
      <c r="A118" s="1"/>
      <c r="J118" s="13"/>
    </row>
    <row r="119" spans="1:13">
      <c r="A119" s="10" t="s">
        <v>80</v>
      </c>
      <c r="J119" s="13"/>
    </row>
    <row r="120" spans="1:13">
      <c r="A120" s="1"/>
      <c r="J120" s="13"/>
    </row>
    <row r="121" spans="1:13" ht="21" customHeight="1">
      <c r="A121" s="150" t="s">
        <v>81</v>
      </c>
      <c r="B121" s="150"/>
      <c r="C121" s="150"/>
      <c r="D121" s="150"/>
      <c r="E121" s="150"/>
      <c r="F121" s="150"/>
      <c r="G121" s="150"/>
      <c r="H121" s="150"/>
      <c r="I121" s="150"/>
      <c r="J121" s="13"/>
      <c r="L121" s="2" t="s">
        <v>82</v>
      </c>
      <c r="M121" s="77" t="s">
        <v>809</v>
      </c>
    </row>
    <row r="122" spans="1:13" ht="15.75" thickBot="1">
      <c r="A122" s="1"/>
      <c r="J122" s="13"/>
    </row>
    <row r="123" spans="1:13" s="78" customFormat="1">
      <c r="A123" s="63" t="s">
        <v>754</v>
      </c>
      <c r="B123" s="64"/>
      <c r="C123" s="64"/>
      <c r="D123" s="64"/>
      <c r="E123" s="64"/>
      <c r="F123" s="64"/>
      <c r="G123" s="64"/>
      <c r="H123" s="64"/>
      <c r="I123" s="65"/>
      <c r="J123" s="75"/>
      <c r="K123" s="75"/>
      <c r="L123" s="76"/>
      <c r="M123" s="77"/>
    </row>
    <row r="124" spans="1:13" s="78" customFormat="1">
      <c r="A124" s="66" t="s">
        <v>758</v>
      </c>
      <c r="B124" s="67"/>
      <c r="C124" s="67"/>
      <c r="D124" s="70">
        <f>VLOOKUP($A$2,'LGOP Results'!$A:$BA,8,FALSE)/1000</f>
        <v>83.495999999999995</v>
      </c>
      <c r="E124" s="67"/>
      <c r="F124" s="67"/>
      <c r="G124" s="67"/>
      <c r="H124" s="67"/>
      <c r="I124" s="68"/>
      <c r="J124" s="75"/>
      <c r="K124" s="75"/>
      <c r="L124" s="76"/>
      <c r="M124" s="77" t="s">
        <v>825</v>
      </c>
    </row>
    <row r="125" spans="1:13" s="78" customFormat="1" ht="15.75" thickBot="1">
      <c r="A125" s="74"/>
      <c r="B125" s="69"/>
      <c r="C125" s="69"/>
      <c r="D125" s="69"/>
      <c r="E125" s="69"/>
      <c r="F125" s="69"/>
      <c r="G125" s="69"/>
      <c r="H125" s="69"/>
      <c r="I125" s="73"/>
      <c r="J125" s="75"/>
      <c r="K125" s="75"/>
      <c r="L125" s="76"/>
      <c r="M125" s="77"/>
    </row>
    <row r="126" spans="1:13" s="78" customFormat="1">
      <c r="A126" s="71"/>
      <c r="B126" s="79"/>
      <c r="C126" s="79"/>
      <c r="D126" s="79"/>
      <c r="E126" s="79"/>
      <c r="F126" s="79"/>
      <c r="G126" s="79"/>
      <c r="H126" s="79"/>
      <c r="I126" s="79"/>
      <c r="J126" s="75"/>
      <c r="K126" s="75"/>
      <c r="L126" s="76"/>
      <c r="M126" s="77"/>
    </row>
    <row r="127" spans="1:13" ht="39" customHeight="1">
      <c r="A127" s="150" t="s">
        <v>807</v>
      </c>
      <c r="B127" s="150"/>
      <c r="C127" s="150"/>
      <c r="D127" s="150"/>
      <c r="E127" s="150"/>
      <c r="F127" s="150"/>
      <c r="G127" s="150"/>
      <c r="H127" s="150"/>
      <c r="I127" s="150"/>
      <c r="J127" s="13"/>
      <c r="L127" s="2" t="s">
        <v>83</v>
      </c>
      <c r="M127" s="77" t="s">
        <v>809</v>
      </c>
    </row>
    <row r="128" spans="1:13">
      <c r="A128" s="11"/>
      <c r="B128" s="11"/>
      <c r="C128" s="11"/>
      <c r="D128" s="11"/>
      <c r="E128" s="11"/>
      <c r="F128" s="11"/>
      <c r="G128" s="11"/>
      <c r="H128" s="11"/>
      <c r="I128" s="11"/>
      <c r="J128" s="13"/>
    </row>
    <row r="129" spans="1:13">
      <c r="A129" s="166" t="s">
        <v>755</v>
      </c>
      <c r="B129" s="166"/>
      <c r="C129" s="166"/>
      <c r="D129" s="11"/>
      <c r="E129" s="11"/>
      <c r="F129" s="11"/>
      <c r="G129" s="11"/>
      <c r="H129" s="11"/>
      <c r="I129" s="11"/>
      <c r="J129" s="13"/>
    </row>
    <row r="130" spans="1:13" ht="39">
      <c r="A130" s="11"/>
      <c r="B130" s="11"/>
      <c r="C130" s="11"/>
      <c r="D130" s="11"/>
      <c r="E130" s="11"/>
      <c r="F130" s="11"/>
      <c r="G130" s="19" t="s">
        <v>84</v>
      </c>
      <c r="H130" s="11"/>
      <c r="I130" s="19" t="s">
        <v>85</v>
      </c>
      <c r="J130" s="13"/>
    </row>
    <row r="131" spans="1:13" ht="60">
      <c r="A131" s="28" t="s">
        <v>86</v>
      </c>
      <c r="B131" s="11"/>
      <c r="C131" s="11"/>
      <c r="D131" s="11"/>
      <c r="E131" s="11"/>
      <c r="F131" s="11"/>
      <c r="G131" s="29">
        <f>VLOOKUP($A$2,'LGOP Results'!$A:$BA,26,FALSE)/1000</f>
        <v>0</v>
      </c>
      <c r="H131" s="29"/>
      <c r="I131" s="29">
        <f>VLOOKUP($A$2,'LGOP Results'!$A:$BA,24,FALSE)/1000</f>
        <v>0</v>
      </c>
      <c r="J131" s="13"/>
      <c r="L131" s="2" t="s">
        <v>87</v>
      </c>
      <c r="M131" s="112" t="s">
        <v>826</v>
      </c>
    </row>
    <row r="132" spans="1:13">
      <c r="A132" s="28" t="s">
        <v>88</v>
      </c>
      <c r="B132" s="11"/>
      <c r="C132" s="11"/>
      <c r="D132" s="11"/>
      <c r="E132" s="11"/>
      <c r="F132" s="11"/>
      <c r="G132" s="30">
        <f>VLOOKUP($A$2,'LGOP Results'!$A:$BA,27,FALSE)/1000</f>
        <v>0</v>
      </c>
      <c r="H132" s="30"/>
      <c r="I132" s="30">
        <f>VLOOKUP($A$2,'LGOP Results'!$A:$BA,25,FALSE)/1000</f>
        <v>36.600999999999999</v>
      </c>
      <c r="J132" s="13"/>
      <c r="L132" s="2" t="s">
        <v>89</v>
      </c>
      <c r="M132" s="112" t="s">
        <v>820</v>
      </c>
    </row>
    <row r="133" spans="1:13" ht="15.75" customHeight="1">
      <c r="A133" s="28" t="s">
        <v>90</v>
      </c>
      <c r="B133" s="11"/>
      <c r="C133" s="11"/>
      <c r="D133" s="11"/>
      <c r="E133" s="11"/>
      <c r="F133" s="11"/>
      <c r="G133" s="31">
        <f>VLOOKUP($A$2,'LGOP Results'!$A:$BA,9,FALSE)/1000</f>
        <v>68.551090000000002</v>
      </c>
      <c r="H133" s="30"/>
      <c r="I133" s="31">
        <v>0</v>
      </c>
      <c r="J133" s="13"/>
      <c r="L133" s="2" t="s">
        <v>91</v>
      </c>
      <c r="M133" s="112" t="s">
        <v>820</v>
      </c>
    </row>
    <row r="134" spans="1:13" ht="15.75" thickBot="1">
      <c r="A134" s="11"/>
      <c r="B134" s="11" t="s">
        <v>92</v>
      </c>
      <c r="C134" s="11"/>
      <c r="D134" s="11"/>
      <c r="E134" s="11"/>
      <c r="F134" s="11"/>
      <c r="G134" s="32">
        <f>SUM(G131:G133)</f>
        <v>68.551090000000002</v>
      </c>
      <c r="H134" s="33"/>
      <c r="I134" s="32">
        <f>SUM(I131:I133)</f>
        <v>36.600999999999999</v>
      </c>
      <c r="J134" s="13"/>
      <c r="M134" s="112"/>
    </row>
    <row r="135" spans="1:13" ht="15.75" thickTop="1">
      <c r="A135" s="11"/>
      <c r="B135" s="11"/>
      <c r="C135" s="11"/>
      <c r="D135" s="11"/>
      <c r="E135" s="11"/>
      <c r="F135" s="11"/>
      <c r="G135" s="11"/>
      <c r="H135" s="11"/>
      <c r="I135" s="11"/>
      <c r="J135" s="13"/>
    </row>
    <row r="136" spans="1:13" ht="34.5" customHeight="1">
      <c r="A136" s="150" t="s">
        <v>93</v>
      </c>
      <c r="B136" s="150"/>
      <c r="C136" s="150"/>
      <c r="D136" s="150"/>
      <c r="E136" s="150"/>
      <c r="F136" s="150"/>
      <c r="G136" s="150"/>
      <c r="H136" s="150"/>
      <c r="I136" s="150"/>
      <c r="J136" s="13"/>
      <c r="L136" s="2" t="s">
        <v>94</v>
      </c>
      <c r="M136" s="77" t="s">
        <v>809</v>
      </c>
    </row>
    <row r="137" spans="1:13">
      <c r="A137" s="11"/>
      <c r="B137" s="11"/>
      <c r="C137" s="11"/>
      <c r="D137" s="11"/>
      <c r="E137" s="11"/>
      <c r="F137" s="11"/>
      <c r="G137" s="11"/>
      <c r="H137" s="11"/>
      <c r="I137" s="11"/>
      <c r="J137" s="13"/>
    </row>
    <row r="138" spans="1:13" ht="26.25" customHeight="1">
      <c r="A138" s="150" t="s">
        <v>95</v>
      </c>
      <c r="B138" s="150"/>
      <c r="C138" s="150"/>
      <c r="D138" s="150"/>
      <c r="E138" s="150"/>
      <c r="F138" s="150"/>
      <c r="G138" s="150"/>
      <c r="H138" s="150"/>
      <c r="I138" s="150"/>
      <c r="J138" s="13"/>
      <c r="L138" s="2" t="s">
        <v>96</v>
      </c>
      <c r="M138" s="112" t="s">
        <v>827</v>
      </c>
    </row>
    <row r="139" spans="1:13">
      <c r="A139" s="11"/>
      <c r="B139" s="11"/>
      <c r="C139" s="11"/>
      <c r="D139" s="11"/>
      <c r="E139" s="11"/>
      <c r="F139" s="11"/>
      <c r="G139" s="11"/>
      <c r="H139" s="11"/>
      <c r="I139" s="11"/>
      <c r="J139" s="13"/>
      <c r="M139" s="112"/>
    </row>
    <row r="140" spans="1:13">
      <c r="A140" s="151" t="s">
        <v>755</v>
      </c>
      <c r="B140" s="151"/>
      <c r="C140" s="151"/>
      <c r="D140" s="11"/>
      <c r="E140" s="11"/>
      <c r="F140" s="11"/>
      <c r="G140" s="11"/>
      <c r="H140" s="11"/>
      <c r="I140" s="11"/>
      <c r="J140" s="13"/>
      <c r="M140" s="112"/>
    </row>
    <row r="141" spans="1:13">
      <c r="A141" s="11"/>
      <c r="B141" s="11"/>
      <c r="C141" s="11"/>
      <c r="D141" s="11"/>
      <c r="E141" s="11"/>
      <c r="F141" s="11"/>
      <c r="G141" s="11"/>
      <c r="H141" s="11"/>
      <c r="I141" s="11"/>
      <c r="J141" s="13"/>
      <c r="M141" s="112"/>
    </row>
    <row r="142" spans="1:13">
      <c r="A142" s="34" t="s">
        <v>97</v>
      </c>
      <c r="B142" s="11"/>
      <c r="C142" s="11"/>
      <c r="D142" s="11"/>
      <c r="E142" s="11"/>
      <c r="F142" s="11"/>
      <c r="G142" s="11"/>
      <c r="H142" s="11"/>
      <c r="I142" s="11"/>
      <c r="J142" s="13"/>
      <c r="M142" s="112"/>
    </row>
    <row r="143" spans="1:13">
      <c r="A143" s="34"/>
      <c r="B143" s="11">
        <v>2019</v>
      </c>
      <c r="C143" s="11"/>
      <c r="D143" s="11"/>
      <c r="E143" s="11"/>
      <c r="F143" s="33">
        <f>VLOOKUP($A$2,'LGOP Results'!$A:$BA,28,FALSE)/1000</f>
        <v>-4.7530000000000001</v>
      </c>
      <c r="G143" s="11"/>
      <c r="H143" s="11"/>
      <c r="I143" s="11"/>
      <c r="J143" s="13"/>
      <c r="M143" s="112" t="s">
        <v>820</v>
      </c>
    </row>
    <row r="144" spans="1:13">
      <c r="A144" s="34"/>
      <c r="B144" s="11">
        <v>2020</v>
      </c>
      <c r="C144" s="11"/>
      <c r="D144" s="11"/>
      <c r="E144" s="11"/>
      <c r="F144" s="30">
        <f>VLOOKUP($A$2,'LGOP Results'!$A:$BA,29,FALSE)/1000</f>
        <v>-4.7530000000000001</v>
      </c>
      <c r="G144" s="11"/>
      <c r="H144" s="11"/>
      <c r="I144" s="11"/>
      <c r="J144" s="13"/>
      <c r="M144" s="112" t="s">
        <v>820</v>
      </c>
    </row>
    <row r="145" spans="1:13">
      <c r="A145" s="34"/>
      <c r="B145" s="11">
        <v>2021</v>
      </c>
      <c r="C145" s="11"/>
      <c r="D145" s="11"/>
      <c r="E145" s="11"/>
      <c r="F145" s="30">
        <f>VLOOKUP($A$2,'LGOP Results'!$A:$BA,30,FALSE)/1000</f>
        <v>-4.7530000000000001</v>
      </c>
      <c r="G145" s="11"/>
      <c r="H145" s="11"/>
      <c r="I145" s="11"/>
      <c r="J145" s="13"/>
      <c r="M145" s="112" t="s">
        <v>820</v>
      </c>
    </row>
    <row r="146" spans="1:13">
      <c r="A146" s="34"/>
      <c r="B146" s="11">
        <v>2022</v>
      </c>
      <c r="C146" s="11"/>
      <c r="D146" s="11"/>
      <c r="E146" s="11"/>
      <c r="F146" s="30">
        <f>VLOOKUP($A$2,'LGOP Results'!$A:$BA,31,FALSE)/1000</f>
        <v>-4.7530000000000001</v>
      </c>
      <c r="G146" s="11"/>
      <c r="H146" s="11"/>
      <c r="I146" s="11"/>
      <c r="J146" s="13"/>
      <c r="M146" s="112" t="s">
        <v>820</v>
      </c>
    </row>
    <row r="147" spans="1:13">
      <c r="A147" s="34"/>
      <c r="B147" s="11">
        <v>2023</v>
      </c>
      <c r="C147" s="11"/>
      <c r="D147" s="11"/>
      <c r="E147" s="11"/>
      <c r="F147" s="30">
        <f>VLOOKUP($A$2,'LGOP Results'!$A:$BA,32,FALSE)/1000</f>
        <v>-4.7530000000000001</v>
      </c>
      <c r="G147" s="11"/>
      <c r="H147" s="11"/>
      <c r="I147" s="11"/>
      <c r="J147" s="13"/>
      <c r="M147" s="112" t="s">
        <v>820</v>
      </c>
    </row>
    <row r="148" spans="1:13">
      <c r="A148" s="34"/>
      <c r="B148" s="11" t="s">
        <v>98</v>
      </c>
      <c r="C148" s="11"/>
      <c r="D148" s="11"/>
      <c r="E148" s="11"/>
      <c r="F148" s="30">
        <f>VLOOKUP($A$2,'LGOP Results'!$A:$BA,33,FALSE)/1000</f>
        <v>-12.836</v>
      </c>
      <c r="G148" s="11"/>
      <c r="H148" s="11"/>
      <c r="I148" s="11"/>
      <c r="J148" s="13"/>
      <c r="M148" s="112" t="s">
        <v>820</v>
      </c>
    </row>
    <row r="149" spans="1:13">
      <c r="A149" s="34"/>
      <c r="B149" s="11"/>
      <c r="C149" s="11"/>
      <c r="D149" s="11"/>
      <c r="E149" s="11"/>
      <c r="F149" s="11"/>
      <c r="G149" s="11"/>
      <c r="H149" s="11"/>
      <c r="I149" s="11"/>
      <c r="J149" s="13"/>
    </row>
    <row r="150" spans="1:13" ht="19.5" customHeight="1">
      <c r="A150" s="150" t="s">
        <v>99</v>
      </c>
      <c r="B150" s="150"/>
      <c r="C150" s="150"/>
      <c r="D150" s="150"/>
      <c r="E150" s="150"/>
      <c r="F150" s="150"/>
      <c r="G150" s="150"/>
      <c r="H150" s="150"/>
      <c r="I150" s="150"/>
      <c r="J150" s="13"/>
    </row>
    <row r="151" spans="1:13">
      <c r="A151" s="11"/>
      <c r="B151" s="11"/>
      <c r="C151" s="11"/>
      <c r="D151" s="11"/>
      <c r="E151" s="11"/>
      <c r="F151" s="11"/>
      <c r="G151" s="11"/>
      <c r="H151" s="11"/>
      <c r="I151" s="11"/>
      <c r="J151" s="13"/>
    </row>
    <row r="152" spans="1:13">
      <c r="A152" s="11"/>
      <c r="B152" s="11"/>
      <c r="C152" s="11"/>
      <c r="D152" s="11"/>
      <c r="E152" s="11"/>
      <c r="F152" s="11"/>
      <c r="G152" s="11"/>
      <c r="H152" s="11"/>
      <c r="I152" s="11"/>
      <c r="J152" s="13"/>
    </row>
    <row r="153" spans="1:13">
      <c r="A153" s="1"/>
      <c r="J153" s="13"/>
    </row>
    <row r="154" spans="1:13">
      <c r="A154" s="152" t="s">
        <v>100</v>
      </c>
      <c r="B154" s="152"/>
      <c r="C154" s="152"/>
      <c r="D154" s="152"/>
      <c r="E154" s="152"/>
      <c r="F154" s="152"/>
      <c r="G154" s="152"/>
      <c r="H154" s="152"/>
      <c r="I154" s="153"/>
      <c r="J154" s="13"/>
      <c r="L154" s="2" t="s">
        <v>101</v>
      </c>
    </row>
    <row r="155" spans="1:13">
      <c r="A155" s="154" t="s">
        <v>102</v>
      </c>
      <c r="B155" s="154"/>
      <c r="C155" s="154"/>
      <c r="D155" s="154"/>
      <c r="E155" s="154"/>
      <c r="F155" s="154"/>
      <c r="G155" s="154"/>
      <c r="H155" s="154"/>
      <c r="I155" s="155"/>
      <c r="J155" s="13"/>
    </row>
    <row r="156" spans="1:13">
      <c r="A156" s="154" t="s">
        <v>103</v>
      </c>
      <c r="B156" s="152"/>
      <c r="C156" s="152"/>
      <c r="D156" s="152"/>
      <c r="E156" s="152"/>
      <c r="F156" s="152"/>
      <c r="G156" s="152"/>
      <c r="H156" s="152"/>
      <c r="I156" s="153"/>
      <c r="J156" s="13"/>
    </row>
    <row r="157" spans="1:13">
      <c r="A157" s="4" t="s">
        <v>750</v>
      </c>
      <c r="J157" s="13"/>
    </row>
    <row r="158" spans="1:13">
      <c r="A158" s="1"/>
      <c r="E158" s="35">
        <v>2018</v>
      </c>
      <c r="F158" s="51"/>
      <c r="G158" s="51"/>
      <c r="H158" s="51"/>
      <c r="I158" s="51"/>
      <c r="J158" s="13"/>
    </row>
    <row r="159" spans="1:13">
      <c r="A159" s="4" t="s">
        <v>104</v>
      </c>
      <c r="C159" s="36"/>
      <c r="D159" s="36"/>
      <c r="E159" s="36"/>
      <c r="F159" s="51"/>
      <c r="G159" s="51"/>
      <c r="H159" s="51"/>
      <c r="I159" s="51"/>
      <c r="J159" s="36"/>
      <c r="K159" s="36"/>
      <c r="L159" s="37"/>
    </row>
    <row r="160" spans="1:13" ht="30">
      <c r="A160" s="1" t="s">
        <v>105</v>
      </c>
      <c r="C160" s="38"/>
      <c r="D160" s="38"/>
      <c r="E160" s="206">
        <f>VLOOKUP($A$2,'LGOP Results'!$A:$BA,15,FALSE)/1000</f>
        <v>53.656999999999996</v>
      </c>
      <c r="F160" s="21"/>
      <c r="G160" s="21"/>
      <c r="H160" s="21"/>
      <c r="I160" s="21"/>
      <c r="J160" s="21"/>
      <c r="K160" s="38"/>
      <c r="L160" s="2" t="s">
        <v>106</v>
      </c>
      <c r="M160" s="112" t="s">
        <v>819</v>
      </c>
    </row>
    <row r="161" spans="1:13">
      <c r="A161" s="1" t="s">
        <v>107</v>
      </c>
      <c r="E161" s="23">
        <f>VLOOKUP($A$2,'LGOP Results'!$A:$BA,16,FALSE)/1000</f>
        <v>34.591999999999999</v>
      </c>
      <c r="F161" s="52"/>
      <c r="G161" s="52"/>
      <c r="H161" s="52"/>
      <c r="I161" s="52"/>
      <c r="J161" s="13"/>
      <c r="L161" s="2" t="s">
        <v>106</v>
      </c>
      <c r="M161" s="112" t="s">
        <v>820</v>
      </c>
    </row>
    <row r="162" spans="1:13">
      <c r="A162" s="1" t="s">
        <v>108</v>
      </c>
      <c r="E162" s="23">
        <f>VLOOKUP($A$2,'LGOP Results'!$A:$BA,17,FALSE)/1000</f>
        <v>0</v>
      </c>
      <c r="F162" s="52"/>
      <c r="G162" s="52"/>
      <c r="H162" s="52"/>
      <c r="I162" s="52"/>
      <c r="J162" s="13"/>
      <c r="L162" s="2" t="s">
        <v>106</v>
      </c>
      <c r="M162" s="112" t="s">
        <v>820</v>
      </c>
    </row>
    <row r="163" spans="1:13">
      <c r="A163" s="1" t="s">
        <v>109</v>
      </c>
      <c r="E163" s="23">
        <f>VLOOKUP($A$2,'LGOP Results'!$A:$BA,18,FALSE)/1000</f>
        <v>0</v>
      </c>
      <c r="F163" s="52"/>
      <c r="G163" s="52"/>
      <c r="H163" s="52"/>
      <c r="I163" s="52"/>
      <c r="J163" s="13"/>
      <c r="L163" s="2" t="s">
        <v>106</v>
      </c>
      <c r="M163" s="112" t="s">
        <v>820</v>
      </c>
    </row>
    <row r="164" spans="1:13">
      <c r="A164" s="1" t="s">
        <v>110</v>
      </c>
      <c r="E164" s="23">
        <f>VLOOKUP($A$2,'LGOP Results'!$A:$BA,19,FALSE)/1000</f>
        <v>-41.353999999999999</v>
      </c>
      <c r="F164" s="52"/>
      <c r="G164" s="52"/>
      <c r="H164" s="52"/>
      <c r="I164" s="52"/>
      <c r="J164" s="13"/>
      <c r="L164" s="2" t="s">
        <v>106</v>
      </c>
      <c r="M164" s="112" t="s">
        <v>820</v>
      </c>
    </row>
    <row r="165" spans="1:13">
      <c r="A165" s="1" t="s">
        <v>111</v>
      </c>
      <c r="E165" s="72">
        <f>-VLOOKUP($A$2,'LGOP Results'!$A:$BA,20,FALSE)/1000</f>
        <v>-70.067999999999998</v>
      </c>
      <c r="F165" s="52"/>
      <c r="G165" s="52"/>
      <c r="H165" s="52"/>
      <c r="I165" s="52"/>
      <c r="J165" s="13"/>
      <c r="L165" s="2" t="s">
        <v>106</v>
      </c>
      <c r="M165" s="112" t="s">
        <v>820</v>
      </c>
    </row>
    <row r="166" spans="1:13">
      <c r="A166" s="4" t="s">
        <v>112</v>
      </c>
      <c r="E166" s="38">
        <f>SUM(E160:E165)</f>
        <v>-23.173000000000002</v>
      </c>
      <c r="F166" s="21"/>
      <c r="G166" s="21"/>
      <c r="H166" s="21"/>
      <c r="I166" s="21"/>
      <c r="J166" s="13"/>
      <c r="L166" s="2" t="s">
        <v>106</v>
      </c>
      <c r="M166" s="112" t="s">
        <v>820</v>
      </c>
    </row>
    <row r="167" spans="1:13">
      <c r="A167" s="4" t="s">
        <v>113</v>
      </c>
      <c r="E167" s="72">
        <f>VLOOKUP($A$2,'LGOP Results'!$A:$AB,7,FALSE)/1000</f>
        <v>1166.0419999999999</v>
      </c>
      <c r="F167" s="52"/>
      <c r="G167" s="52"/>
      <c r="H167" s="52"/>
      <c r="I167" s="52"/>
      <c r="J167" s="13"/>
      <c r="L167" s="2" t="s">
        <v>106</v>
      </c>
      <c r="M167" s="112" t="s">
        <v>820</v>
      </c>
    </row>
    <row r="168" spans="1:13" ht="15.75" thickBot="1">
      <c r="A168" s="4" t="s">
        <v>114</v>
      </c>
      <c r="E168" s="26">
        <f>E166+E167</f>
        <v>1142.8689999999999</v>
      </c>
      <c r="F168" s="21"/>
      <c r="G168" s="21"/>
      <c r="H168" s="21"/>
      <c r="I168" s="21"/>
      <c r="J168" s="13"/>
      <c r="L168" s="2" t="s">
        <v>115</v>
      </c>
      <c r="M168" s="112" t="s">
        <v>820</v>
      </c>
    </row>
    <row r="169" spans="1:13" ht="15.75" thickTop="1">
      <c r="A169" s="1"/>
      <c r="E169" s="75"/>
      <c r="F169" s="52"/>
      <c r="G169" s="52"/>
      <c r="H169" s="52"/>
      <c r="I169" s="52"/>
      <c r="J169" s="13"/>
    </row>
    <row r="170" spans="1:13">
      <c r="A170" s="1"/>
      <c r="E170" s="75"/>
      <c r="F170" s="52"/>
      <c r="G170" s="52"/>
      <c r="H170" s="52"/>
      <c r="I170" s="52"/>
      <c r="J170" s="13"/>
    </row>
    <row r="171" spans="1:13" ht="120">
      <c r="A171" s="4" t="s">
        <v>116</v>
      </c>
      <c r="E171" s="108" t="s">
        <v>808</v>
      </c>
      <c r="F171" s="21"/>
      <c r="G171" s="21"/>
      <c r="H171" s="21"/>
      <c r="I171" s="21"/>
      <c r="J171" s="13"/>
      <c r="L171" s="2" t="s">
        <v>117</v>
      </c>
      <c r="M171" s="77" t="s">
        <v>759</v>
      </c>
    </row>
    <row r="172" spans="1:13">
      <c r="A172" s="1"/>
      <c r="F172" s="52"/>
      <c r="G172" s="52"/>
      <c r="H172" s="52"/>
      <c r="I172" s="52"/>
      <c r="J172" s="13"/>
    </row>
    <row r="173" spans="1:13" ht="27.75" customHeight="1">
      <c r="A173" s="156" t="s">
        <v>118</v>
      </c>
      <c r="B173" s="150"/>
      <c r="C173" s="150"/>
      <c r="D173" s="150"/>
      <c r="E173" s="39" t="e">
        <f>E168/E171</f>
        <v>#VALUE!</v>
      </c>
      <c r="F173" s="53"/>
      <c r="G173" s="53"/>
      <c r="H173" s="53"/>
      <c r="I173" s="53"/>
      <c r="J173" s="13"/>
      <c r="L173" s="2" t="s">
        <v>119</v>
      </c>
      <c r="M173" s="77" t="s">
        <v>828</v>
      </c>
    </row>
    <row r="174" spans="1:13">
      <c r="A174" s="1"/>
      <c r="J174" s="13"/>
    </row>
    <row r="175" spans="1:13" ht="17.25" customHeight="1">
      <c r="A175" s="4" t="s">
        <v>120</v>
      </c>
      <c r="J175" s="13"/>
      <c r="L175" s="1"/>
    </row>
    <row r="176" spans="1:13">
      <c r="A176" s="4"/>
      <c r="J176" s="13"/>
      <c r="L176" s="1"/>
    </row>
    <row r="177" spans="1:14" ht="27.75" customHeight="1">
      <c r="A177" s="150" t="s">
        <v>121</v>
      </c>
      <c r="B177" s="150"/>
      <c r="C177" s="150"/>
      <c r="D177" s="150"/>
      <c r="E177" s="150"/>
      <c r="F177" s="150"/>
      <c r="G177" s="150"/>
      <c r="H177" s="150"/>
      <c r="I177" s="150"/>
      <c r="J177" s="13"/>
      <c r="L177" s="2">
        <v>171</v>
      </c>
      <c r="M177" s="112" t="s">
        <v>809</v>
      </c>
    </row>
    <row r="178" spans="1:14">
      <c r="A178" s="1"/>
      <c r="J178" s="13"/>
      <c r="M178" s="112"/>
    </row>
    <row r="179" spans="1:14">
      <c r="A179" s="150" t="s">
        <v>122</v>
      </c>
      <c r="B179" s="150"/>
      <c r="C179" s="150"/>
      <c r="D179" s="150"/>
      <c r="E179" s="150"/>
      <c r="F179" s="150"/>
      <c r="G179" s="150"/>
      <c r="H179" s="150"/>
      <c r="I179" s="150"/>
      <c r="J179" s="13"/>
      <c r="M179" s="112" t="s">
        <v>820</v>
      </c>
      <c r="N179" s="40"/>
    </row>
    <row r="180" spans="1:14">
      <c r="A180" s="1"/>
      <c r="J180" s="13"/>
      <c r="M180" s="112"/>
      <c r="N180" s="40"/>
    </row>
    <row r="181" spans="1:14" ht="25.5" customHeight="1">
      <c r="A181" s="150" t="s">
        <v>123</v>
      </c>
      <c r="B181" s="150"/>
      <c r="C181" s="150"/>
      <c r="D181" s="150"/>
      <c r="E181" s="150"/>
      <c r="F181" s="150"/>
      <c r="G181" s="150"/>
      <c r="H181" s="150"/>
      <c r="I181" s="150"/>
      <c r="J181" s="13"/>
      <c r="M181" s="112" t="s">
        <v>829</v>
      </c>
      <c r="N181" s="40"/>
    </row>
    <row r="182" spans="1:14">
      <c r="A182" s="1"/>
      <c r="J182" s="13"/>
      <c r="N182" s="40"/>
    </row>
    <row r="183" spans="1:14" ht="58.5" hidden="1" customHeight="1">
      <c r="A183" s="150" t="s">
        <v>124</v>
      </c>
      <c r="B183" s="150"/>
      <c r="C183" s="150"/>
      <c r="D183" s="150"/>
      <c r="E183" s="150"/>
      <c r="F183" s="150"/>
      <c r="G183" s="150"/>
      <c r="H183" s="150"/>
      <c r="I183" s="151"/>
      <c r="J183" s="13"/>
      <c r="L183" s="2">
        <v>171</v>
      </c>
    </row>
    <row r="184" spans="1:14" hidden="1"/>
  </sheetData>
  <mergeCells count="61">
    <mergeCell ref="A2:C2"/>
    <mergeCell ref="A84:C84"/>
    <mergeCell ref="A129:C129"/>
    <mergeCell ref="A140:C140"/>
    <mergeCell ref="B31:I31"/>
    <mergeCell ref="A4:I4"/>
    <mergeCell ref="B6:I6"/>
    <mergeCell ref="B11:I11"/>
    <mergeCell ref="B13:I13"/>
    <mergeCell ref="B16:I16"/>
    <mergeCell ref="B18:I18"/>
    <mergeCell ref="B20:I20"/>
    <mergeCell ref="B22:I22"/>
    <mergeCell ref="B24:I24"/>
    <mergeCell ref="B26:I26"/>
    <mergeCell ref="B29:I29"/>
    <mergeCell ref="E72:H72"/>
    <mergeCell ref="B33:I33"/>
    <mergeCell ref="B35:I35"/>
    <mergeCell ref="A42:I42"/>
    <mergeCell ref="A48:I48"/>
    <mergeCell ref="A50:I50"/>
    <mergeCell ref="A52:I52"/>
    <mergeCell ref="A55:E55"/>
    <mergeCell ref="A57:E57"/>
    <mergeCell ref="A59:E59"/>
    <mergeCell ref="A62:I62"/>
    <mergeCell ref="A70:I70"/>
    <mergeCell ref="A109:I109"/>
    <mergeCell ref="E73:H73"/>
    <mergeCell ref="E74:H74"/>
    <mergeCell ref="B75:D75"/>
    <mergeCell ref="E75:H75"/>
    <mergeCell ref="A78:I78"/>
    <mergeCell ref="A80:I80"/>
    <mergeCell ref="A101:I101"/>
    <mergeCell ref="A103:I103"/>
    <mergeCell ref="A105:I105"/>
    <mergeCell ref="A107:I107"/>
    <mergeCell ref="F111:G111"/>
    <mergeCell ref="H111:I111"/>
    <mergeCell ref="A114:I114"/>
    <mergeCell ref="D116:E116"/>
    <mergeCell ref="F116:G116"/>
    <mergeCell ref="H116:I116"/>
    <mergeCell ref="M111:M112"/>
    <mergeCell ref="M116:M117"/>
    <mergeCell ref="A181:I181"/>
    <mergeCell ref="A183:I183"/>
    <mergeCell ref="A150:I150"/>
    <mergeCell ref="A154:I154"/>
    <mergeCell ref="A155:I155"/>
    <mergeCell ref="A156:I156"/>
    <mergeCell ref="A173:D173"/>
    <mergeCell ref="A177:I177"/>
    <mergeCell ref="A121:I121"/>
    <mergeCell ref="A127:I127"/>
    <mergeCell ref="A136:I136"/>
    <mergeCell ref="A138:I138"/>
    <mergeCell ref="A179:I179"/>
    <mergeCell ref="D111:E1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'LGOP Results'!$A$4:$A$581</xm:f>
          </x14:formula1>
          <xm:sqref>A2:A3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0"/>
  <sheetViews>
    <sheetView workbookViewId="0">
      <pane ySplit="2" topLeftCell="A3" activePane="bottomLeft" state="frozen"/>
      <selection pane="bottomLeft" activeCell="J170" sqref="J170"/>
    </sheetView>
  </sheetViews>
  <sheetFormatPr defaultRowHeight="15"/>
  <cols>
    <col min="1" max="1" width="32.140625" style="7" customWidth="1"/>
    <col min="2" max="2" width="9.140625" style="1"/>
    <col min="3" max="3" width="10.7109375" style="1" customWidth="1"/>
    <col min="4" max="4" width="10.28515625" style="1" customWidth="1"/>
    <col min="5" max="5" width="9.85546875" style="1" bestFit="1" customWidth="1"/>
    <col min="6" max="6" width="11.42578125" style="1" customWidth="1"/>
    <col min="7" max="7" width="10.85546875" style="1" customWidth="1"/>
    <col min="8" max="8" width="10.7109375" style="1" bestFit="1" customWidth="1"/>
    <col min="9" max="9" width="9.7109375" style="1" customWidth="1"/>
    <col min="10" max="10" width="10.28515625" style="1" customWidth="1"/>
    <col min="11" max="11" width="18.28515625" style="1" customWidth="1"/>
    <col min="12" max="12" width="9.85546875" style="2" bestFit="1" customWidth="1"/>
    <col min="13" max="13" width="32.85546875" style="6" customWidth="1"/>
    <col min="14" max="16384" width="9.140625" style="6"/>
  </cols>
  <sheetData>
    <row r="1" spans="1:12" customFormat="1">
      <c r="A1" s="41" t="s">
        <v>133</v>
      </c>
      <c r="F1" s="58"/>
      <c r="G1" s="6"/>
      <c r="H1" s="6"/>
      <c r="I1" s="58"/>
    </row>
    <row r="2" spans="1:12" customFormat="1">
      <c r="A2" s="81" t="s">
        <v>849</v>
      </c>
      <c r="F2" s="59"/>
      <c r="G2" s="6"/>
      <c r="H2" s="6"/>
      <c r="I2" s="59"/>
    </row>
    <row r="3" spans="1:12" customFormat="1">
      <c r="A3" s="6"/>
      <c r="F3" s="59"/>
      <c r="G3" s="6"/>
      <c r="H3" s="6"/>
      <c r="I3" s="59"/>
    </row>
    <row r="4" spans="1:12" s="1" customFormat="1" ht="12.75">
      <c r="A4" s="167" t="s">
        <v>165</v>
      </c>
      <c r="B4" s="167"/>
      <c r="C4" s="167"/>
      <c r="D4" s="167"/>
      <c r="E4" s="167"/>
      <c r="F4" s="167"/>
      <c r="G4" s="167"/>
      <c r="H4" s="167"/>
      <c r="I4" s="167"/>
      <c r="L4" s="2"/>
    </row>
    <row r="5" spans="1:12">
      <c r="A5" s="3" t="s">
        <v>0</v>
      </c>
      <c r="B5" s="4"/>
      <c r="C5" s="4"/>
      <c r="D5" s="4"/>
      <c r="E5" s="4"/>
      <c r="F5" s="4"/>
      <c r="G5" s="4"/>
      <c r="H5" s="4"/>
      <c r="I5" s="4"/>
      <c r="J5" s="4"/>
      <c r="K5" s="4"/>
      <c r="L5" s="5"/>
    </row>
    <row r="6" spans="1:12" ht="93" hidden="1" customHeight="1">
      <c r="B6" s="150" t="s">
        <v>125</v>
      </c>
      <c r="C6" s="150"/>
      <c r="D6" s="150"/>
      <c r="E6" s="150"/>
      <c r="F6" s="150"/>
      <c r="G6" s="150"/>
      <c r="H6" s="150"/>
      <c r="I6" s="150"/>
    </row>
    <row r="7" spans="1:12" hidden="1"/>
    <row r="8" spans="1:12">
      <c r="B8" s="1" t="s">
        <v>2</v>
      </c>
    </row>
    <row r="10" spans="1:12">
      <c r="A10" s="8"/>
      <c r="B10" s="4" t="s">
        <v>3</v>
      </c>
    </row>
    <row r="11" spans="1:12">
      <c r="A11" s="8" t="s">
        <v>4</v>
      </c>
      <c r="B11" s="150" t="s">
        <v>5</v>
      </c>
      <c r="C11" s="150"/>
      <c r="D11" s="150"/>
      <c r="E11" s="150"/>
      <c r="F11" s="150"/>
      <c r="G11" s="150"/>
      <c r="H11" s="150"/>
      <c r="I11" s="150"/>
      <c r="K11" s="1" t="s">
        <v>6</v>
      </c>
      <c r="L11" s="2">
        <v>146</v>
      </c>
    </row>
    <row r="12" spans="1:12">
      <c r="A12" s="8"/>
    </row>
    <row r="13" spans="1:12" ht="41.25" customHeight="1">
      <c r="A13" s="8" t="s">
        <v>4</v>
      </c>
      <c r="B13" s="150" t="s">
        <v>7</v>
      </c>
      <c r="C13" s="150"/>
      <c r="D13" s="150"/>
      <c r="E13" s="150"/>
      <c r="F13" s="150"/>
      <c r="G13" s="150"/>
      <c r="H13" s="150"/>
      <c r="I13" s="150"/>
      <c r="K13" s="1" t="s">
        <v>8</v>
      </c>
      <c r="L13" s="2">
        <v>161</v>
      </c>
    </row>
    <row r="14" spans="1:12">
      <c r="A14" s="8"/>
    </row>
    <row r="15" spans="1:12">
      <c r="A15" s="8"/>
      <c r="B15" s="4" t="s">
        <v>9</v>
      </c>
    </row>
    <row r="16" spans="1:12" s="1" customFormat="1" ht="36.75" customHeight="1">
      <c r="A16" s="8" t="s">
        <v>4</v>
      </c>
      <c r="B16" s="150" t="s">
        <v>10</v>
      </c>
      <c r="C16" s="150"/>
      <c r="D16" s="150"/>
      <c r="E16" s="150"/>
      <c r="F16" s="150"/>
      <c r="G16" s="150"/>
      <c r="H16" s="150"/>
      <c r="I16" s="150"/>
      <c r="K16" s="1" t="s">
        <v>8</v>
      </c>
      <c r="L16" s="2">
        <v>161</v>
      </c>
    </row>
    <row r="17" spans="1:12" s="1" customFormat="1" ht="12.75">
      <c r="A17" s="8"/>
      <c r="B17" s="4"/>
      <c r="L17" s="2"/>
    </row>
    <row r="18" spans="1:12" s="9" customFormat="1" ht="24.75" customHeight="1">
      <c r="A18" s="8" t="s">
        <v>4</v>
      </c>
      <c r="B18" s="150" t="s">
        <v>11</v>
      </c>
      <c r="C18" s="150"/>
      <c r="D18" s="150"/>
      <c r="E18" s="150"/>
      <c r="F18" s="150"/>
      <c r="G18" s="150"/>
      <c r="H18" s="150"/>
      <c r="I18" s="150"/>
      <c r="J18" s="1"/>
      <c r="K18" s="1" t="s">
        <v>6</v>
      </c>
      <c r="L18" s="2">
        <v>157</v>
      </c>
    </row>
    <row r="19" spans="1:12">
      <c r="A19" s="8"/>
      <c r="B19" s="4"/>
    </row>
    <row r="20" spans="1:12" ht="26.25" customHeight="1">
      <c r="A20" s="8" t="s">
        <v>4</v>
      </c>
      <c r="B20" s="150" t="s">
        <v>12</v>
      </c>
      <c r="C20" s="150"/>
      <c r="D20" s="150"/>
      <c r="E20" s="150"/>
      <c r="F20" s="150"/>
      <c r="G20" s="150"/>
      <c r="H20" s="150"/>
      <c r="I20" s="150"/>
      <c r="K20" s="1" t="s">
        <v>6</v>
      </c>
      <c r="L20" s="2" t="s">
        <v>13</v>
      </c>
    </row>
    <row r="21" spans="1:12">
      <c r="A21" s="8"/>
      <c r="B21" s="4"/>
    </row>
    <row r="22" spans="1:12" ht="36.75" customHeight="1">
      <c r="A22" s="8">
        <v>1</v>
      </c>
      <c r="B22" s="150" t="s">
        <v>14</v>
      </c>
      <c r="C22" s="150"/>
      <c r="D22" s="150"/>
      <c r="E22" s="150"/>
      <c r="F22" s="150"/>
      <c r="G22" s="150"/>
      <c r="H22" s="150"/>
      <c r="I22" s="150"/>
      <c r="K22" s="1" t="s">
        <v>6</v>
      </c>
      <c r="L22" s="2" t="s">
        <v>15</v>
      </c>
    </row>
    <row r="23" spans="1:12">
      <c r="A23" s="8"/>
    </row>
    <row r="24" spans="1:12" ht="40.5" customHeight="1">
      <c r="A24" s="8">
        <v>2</v>
      </c>
      <c r="B24" s="150" t="s">
        <v>16</v>
      </c>
      <c r="C24" s="150"/>
      <c r="D24" s="150"/>
      <c r="E24" s="150"/>
      <c r="F24" s="150"/>
      <c r="G24" s="150"/>
      <c r="H24" s="150"/>
      <c r="I24" s="150"/>
      <c r="K24" s="1" t="s">
        <v>6</v>
      </c>
      <c r="L24" s="2" t="s">
        <v>17</v>
      </c>
    </row>
    <row r="25" spans="1:12">
      <c r="A25" s="8"/>
    </row>
    <row r="26" spans="1:12" ht="27.75" customHeight="1">
      <c r="A26" s="8">
        <v>3</v>
      </c>
      <c r="B26" s="150" t="s">
        <v>18</v>
      </c>
      <c r="C26" s="150"/>
      <c r="D26" s="150"/>
      <c r="E26" s="150"/>
      <c r="F26" s="150"/>
      <c r="G26" s="150"/>
      <c r="H26" s="150"/>
      <c r="I26" s="150"/>
      <c r="K26" s="1" t="s">
        <v>6</v>
      </c>
      <c r="L26" s="2">
        <v>158</v>
      </c>
    </row>
    <row r="27" spans="1:12">
      <c r="A27" s="8"/>
    </row>
    <row r="28" spans="1:12">
      <c r="A28" s="8"/>
      <c r="B28" s="4" t="s">
        <v>19</v>
      </c>
    </row>
    <row r="29" spans="1:12">
      <c r="A29" s="8">
        <v>1</v>
      </c>
      <c r="B29" s="150" t="s">
        <v>20</v>
      </c>
      <c r="C29" s="150"/>
      <c r="D29" s="150"/>
      <c r="E29" s="150"/>
      <c r="F29" s="150"/>
      <c r="G29" s="150"/>
      <c r="H29" s="150"/>
      <c r="I29" s="150"/>
      <c r="K29" s="1" t="s">
        <v>6</v>
      </c>
      <c r="L29" s="2" t="s">
        <v>15</v>
      </c>
    </row>
    <row r="30" spans="1:12">
      <c r="A30" s="8"/>
    </row>
    <row r="31" spans="1:12">
      <c r="A31" s="8">
        <v>2</v>
      </c>
      <c r="B31" s="150" t="s">
        <v>21</v>
      </c>
      <c r="C31" s="150"/>
      <c r="D31" s="150"/>
      <c r="E31" s="150"/>
      <c r="F31" s="150"/>
      <c r="G31" s="150"/>
      <c r="H31" s="150"/>
      <c r="I31" s="150"/>
      <c r="K31" s="1" t="s">
        <v>6</v>
      </c>
      <c r="L31" s="2" t="s">
        <v>17</v>
      </c>
    </row>
    <row r="32" spans="1:12">
      <c r="A32" s="8"/>
    </row>
    <row r="33" spans="1:13">
      <c r="A33" s="8">
        <v>3</v>
      </c>
      <c r="B33" s="150" t="s">
        <v>22</v>
      </c>
      <c r="C33" s="150"/>
      <c r="D33" s="150"/>
      <c r="E33" s="150"/>
      <c r="F33" s="150"/>
      <c r="G33" s="150"/>
      <c r="H33" s="150"/>
      <c r="I33" s="150"/>
      <c r="K33" s="1" t="s">
        <v>6</v>
      </c>
      <c r="L33" s="2">
        <v>159</v>
      </c>
    </row>
    <row r="34" spans="1:13">
      <c r="A34" s="8"/>
    </row>
    <row r="35" spans="1:13" ht="39" customHeight="1">
      <c r="A35" s="8">
        <v>4</v>
      </c>
      <c r="B35" s="150" t="s">
        <v>23</v>
      </c>
      <c r="C35" s="150"/>
      <c r="D35" s="150"/>
      <c r="E35" s="150"/>
      <c r="F35" s="150"/>
      <c r="G35" s="150"/>
      <c r="H35" s="150"/>
      <c r="I35" s="150"/>
      <c r="K35" s="1" t="s">
        <v>6</v>
      </c>
      <c r="L35" s="2">
        <v>159</v>
      </c>
    </row>
    <row r="36" spans="1:13">
      <c r="A36" s="8"/>
    </row>
    <row r="38" spans="1:13">
      <c r="A38" s="4" t="s">
        <v>24</v>
      </c>
      <c r="B38" s="4"/>
    </row>
    <row r="40" spans="1:13">
      <c r="A40" s="4" t="s">
        <v>25</v>
      </c>
      <c r="B40" s="4"/>
    </row>
    <row r="41" spans="1:13">
      <c r="A41" s="4"/>
      <c r="B41" s="4"/>
    </row>
    <row r="42" spans="1:13" ht="54" customHeight="1">
      <c r="A42" s="150" t="s">
        <v>26</v>
      </c>
      <c r="B42" s="150"/>
      <c r="C42" s="150"/>
      <c r="D42" s="150"/>
      <c r="E42" s="150"/>
      <c r="F42" s="150"/>
      <c r="G42" s="150"/>
      <c r="H42" s="150"/>
      <c r="I42" s="150"/>
      <c r="L42" s="2">
        <v>162</v>
      </c>
    </row>
    <row r="43" spans="1:13">
      <c r="A43" s="1"/>
    </row>
    <row r="44" spans="1:13">
      <c r="A44" s="4" t="s">
        <v>126</v>
      </c>
      <c r="B44" s="4"/>
    </row>
    <row r="45" spans="1:13">
      <c r="A45" s="4"/>
      <c r="B45" s="4"/>
    </row>
    <row r="46" spans="1:13">
      <c r="A46" s="10" t="s">
        <v>27</v>
      </c>
      <c r="B46" s="10"/>
    </row>
    <row r="48" spans="1:13" s="114" customFormat="1" ht="81" customHeight="1">
      <c r="A48" s="178" t="s">
        <v>830</v>
      </c>
      <c r="B48" s="178"/>
      <c r="C48" s="178"/>
      <c r="D48" s="178"/>
      <c r="E48" s="178"/>
      <c r="F48" s="178"/>
      <c r="G48" s="178"/>
      <c r="H48" s="178"/>
      <c r="I48" s="178"/>
      <c r="J48" s="16"/>
      <c r="K48" s="16"/>
      <c r="L48" s="18" t="s">
        <v>28</v>
      </c>
      <c r="M48" s="113" t="s">
        <v>809</v>
      </c>
    </row>
    <row r="49" spans="1:13" s="114" customFormat="1">
      <c r="A49" s="115"/>
      <c r="B49" s="116"/>
      <c r="C49" s="116"/>
      <c r="D49" s="116"/>
      <c r="E49" s="116"/>
      <c r="F49" s="116"/>
      <c r="G49" s="116"/>
      <c r="H49" s="116"/>
      <c r="I49" s="116"/>
      <c r="J49" s="16"/>
      <c r="K49" s="16"/>
      <c r="L49" s="18"/>
      <c r="M49" s="113"/>
    </row>
    <row r="50" spans="1:13" s="114" customFormat="1" ht="120.75" customHeight="1">
      <c r="A50" s="178" t="s">
        <v>831</v>
      </c>
      <c r="B50" s="178"/>
      <c r="C50" s="178"/>
      <c r="D50" s="178"/>
      <c r="E50" s="178"/>
      <c r="F50" s="178"/>
      <c r="G50" s="178"/>
      <c r="H50" s="178"/>
      <c r="I50" s="178"/>
      <c r="J50" s="16"/>
      <c r="K50" s="16"/>
      <c r="L50" s="18" t="s">
        <v>29</v>
      </c>
      <c r="M50" s="113" t="s">
        <v>810</v>
      </c>
    </row>
    <row r="51" spans="1:13" s="114" customFormat="1">
      <c r="A51" s="115"/>
      <c r="B51" s="16"/>
      <c r="C51" s="16"/>
      <c r="D51" s="16"/>
      <c r="E51" s="16"/>
      <c r="F51" s="16"/>
      <c r="G51" s="16"/>
      <c r="H51" s="16"/>
      <c r="I51" s="16"/>
      <c r="J51" s="16"/>
      <c r="K51" s="16"/>
      <c r="L51" s="18"/>
    </row>
    <row r="52" spans="1:13" s="114" customFormat="1" ht="33" customHeight="1">
      <c r="A52" s="168" t="s">
        <v>832</v>
      </c>
      <c r="B52" s="168"/>
      <c r="C52" s="168"/>
      <c r="D52" s="168"/>
      <c r="E52" s="168"/>
      <c r="F52" s="168"/>
      <c r="G52" s="168"/>
      <c r="H52" s="168"/>
      <c r="I52" s="168"/>
      <c r="J52" s="16"/>
      <c r="K52" s="16"/>
      <c r="L52" s="18" t="s">
        <v>30</v>
      </c>
    </row>
    <row r="53" spans="1:13" s="114" customFormat="1">
      <c r="A53" s="115"/>
      <c r="B53" s="16"/>
      <c r="C53" s="16"/>
      <c r="D53" s="16"/>
      <c r="E53" s="16"/>
      <c r="F53" s="16"/>
      <c r="G53" s="16"/>
      <c r="H53" s="16"/>
      <c r="I53" s="16"/>
      <c r="J53" s="16"/>
      <c r="K53" s="16"/>
      <c r="L53" s="18"/>
    </row>
    <row r="54" spans="1:13" s="114" customFormat="1">
      <c r="A54" s="115"/>
      <c r="B54" s="16"/>
      <c r="C54" s="16"/>
      <c r="D54" s="16"/>
      <c r="E54" s="16"/>
      <c r="F54" s="16"/>
      <c r="G54" s="117"/>
      <c r="H54" s="16"/>
      <c r="I54" s="117"/>
      <c r="J54" s="16"/>
      <c r="K54" s="16"/>
      <c r="L54" s="18"/>
    </row>
    <row r="55" spans="1:13" s="114" customFormat="1" ht="30">
      <c r="A55" s="178" t="s">
        <v>761</v>
      </c>
      <c r="B55" s="178"/>
      <c r="C55" s="178"/>
      <c r="D55" s="178"/>
      <c r="E55" s="178"/>
      <c r="F55" s="16"/>
      <c r="G55" s="16">
        <f>VLOOKUP($A$2,'TNP Results'!$A$4:$AG$48,2,FALSE)</f>
        <v>11</v>
      </c>
      <c r="H55" s="16"/>
      <c r="I55" s="17"/>
      <c r="J55" s="16"/>
      <c r="K55" s="16"/>
      <c r="L55" s="18"/>
      <c r="M55" s="199" t="s">
        <v>811</v>
      </c>
    </row>
    <row r="56" spans="1:13" s="114" customFormat="1">
      <c r="A56" s="115"/>
      <c r="B56" s="16"/>
      <c r="C56" s="16"/>
      <c r="D56" s="16"/>
      <c r="E56" s="16"/>
      <c r="F56" s="16"/>
      <c r="G56" s="16"/>
      <c r="H56" s="16"/>
      <c r="I56" s="17"/>
      <c r="J56" s="16"/>
      <c r="K56" s="16"/>
      <c r="L56" s="18"/>
      <c r="M56" s="199"/>
    </row>
    <row r="57" spans="1:13" s="114" customFormat="1">
      <c r="A57" s="178" t="s">
        <v>762</v>
      </c>
      <c r="B57" s="178"/>
      <c r="C57" s="178"/>
      <c r="D57" s="178"/>
      <c r="E57" s="178"/>
      <c r="F57" s="16"/>
      <c r="G57" s="16">
        <f>VLOOKUP($A$2,'TNP Results'!$A$4:$AG$48,3,FALSE)</f>
        <v>4</v>
      </c>
      <c r="H57" s="16"/>
      <c r="I57" s="17"/>
      <c r="J57" s="16"/>
      <c r="K57" s="16"/>
      <c r="L57" s="18"/>
      <c r="M57" s="199" t="s">
        <v>820</v>
      </c>
    </row>
    <row r="58" spans="1:13" s="114" customFormat="1">
      <c r="A58" s="115"/>
      <c r="B58" s="16"/>
      <c r="C58" s="16"/>
      <c r="D58" s="16"/>
      <c r="E58" s="16"/>
      <c r="F58" s="16"/>
      <c r="G58" s="16"/>
      <c r="H58" s="16"/>
      <c r="I58" s="17"/>
      <c r="J58" s="16"/>
      <c r="K58" s="16"/>
      <c r="L58" s="18"/>
      <c r="M58" s="199"/>
    </row>
    <row r="59" spans="1:13" s="114" customFormat="1">
      <c r="A59" s="178" t="s">
        <v>31</v>
      </c>
      <c r="B59" s="178"/>
      <c r="C59" s="178"/>
      <c r="D59" s="178"/>
      <c r="E59" s="178"/>
      <c r="F59" s="16"/>
      <c r="G59" s="118">
        <f>VLOOKUP($A$2,'TNP Results'!$A$4:$AG$48,4,FALSE)</f>
        <v>246</v>
      </c>
      <c r="H59" s="16"/>
      <c r="I59" s="17"/>
      <c r="J59" s="16"/>
      <c r="K59" s="16"/>
      <c r="L59" s="18"/>
      <c r="M59" s="199" t="s">
        <v>820</v>
      </c>
    </row>
    <row r="60" spans="1:13" s="114" customFormat="1" ht="15.75" thickBot="1">
      <c r="A60" s="115"/>
      <c r="B60" s="16"/>
      <c r="C60" s="16"/>
      <c r="D60" s="16"/>
      <c r="E60" s="16"/>
      <c r="F60" s="16"/>
      <c r="G60" s="119">
        <f>G55+G57+G59</f>
        <v>261</v>
      </c>
      <c r="H60" s="16"/>
      <c r="I60" s="17"/>
      <c r="J60" s="16"/>
      <c r="K60" s="16"/>
      <c r="L60" s="18"/>
    </row>
    <row r="61" spans="1:13" s="114" customFormat="1" ht="15.75" thickTop="1">
      <c r="A61" s="115"/>
      <c r="B61" s="16"/>
      <c r="C61" s="16"/>
      <c r="D61" s="16"/>
      <c r="E61" s="16"/>
      <c r="F61" s="16"/>
      <c r="G61" s="16"/>
      <c r="H61" s="16"/>
      <c r="I61" s="17"/>
      <c r="J61" s="16"/>
      <c r="K61" s="16"/>
      <c r="L61" s="18"/>
    </row>
    <row r="62" spans="1:13" s="114" customFormat="1" ht="66" customHeight="1">
      <c r="A62" s="168" t="s">
        <v>127</v>
      </c>
      <c r="B62" s="168"/>
      <c r="C62" s="168"/>
      <c r="D62" s="168"/>
      <c r="E62" s="168"/>
      <c r="F62" s="168"/>
      <c r="G62" s="168"/>
      <c r="H62" s="168"/>
      <c r="I62" s="168"/>
      <c r="J62" s="16"/>
      <c r="K62" s="16"/>
      <c r="L62" s="18" t="s">
        <v>32</v>
      </c>
      <c r="M62" s="113" t="s">
        <v>901</v>
      </c>
    </row>
    <row r="63" spans="1:13" s="114" customFormat="1" ht="15.75" thickBot="1">
      <c r="A63" s="115"/>
      <c r="B63" s="16"/>
      <c r="C63" s="16"/>
      <c r="D63" s="16"/>
      <c r="E63" s="16"/>
      <c r="F63" s="16"/>
      <c r="G63" s="16"/>
      <c r="H63" s="16"/>
      <c r="I63" s="16"/>
      <c r="J63" s="16"/>
      <c r="K63" s="16"/>
      <c r="L63" s="18"/>
    </row>
    <row r="64" spans="1:13" s="78" customFormat="1">
      <c r="A64" s="63" t="s">
        <v>754</v>
      </c>
      <c r="B64" s="64"/>
      <c r="C64" s="64"/>
      <c r="D64" s="64"/>
      <c r="E64" s="64"/>
      <c r="F64" s="64"/>
      <c r="G64" s="64"/>
      <c r="H64" s="64"/>
      <c r="I64" s="65"/>
      <c r="J64" s="75"/>
      <c r="K64" s="75"/>
      <c r="L64" s="76"/>
      <c r="M64" s="113"/>
    </row>
    <row r="65" spans="1:13" s="78" customFormat="1" ht="49.5" customHeight="1">
      <c r="A65" s="66" t="s">
        <v>753</v>
      </c>
      <c r="B65" s="67"/>
      <c r="C65" s="67"/>
      <c r="D65" s="70">
        <f>VLOOKUP($A$2,'TNP Results'!$A$4:$AG$48,8,FALSE)/1000</f>
        <v>4.7625000000000002</v>
      </c>
      <c r="E65" s="67"/>
      <c r="F65" s="67"/>
      <c r="G65" s="67"/>
      <c r="H65" s="67"/>
      <c r="I65" s="68"/>
      <c r="J65" s="75"/>
      <c r="K65" s="75"/>
      <c r="L65" s="76"/>
      <c r="M65" s="113" t="s">
        <v>812</v>
      </c>
    </row>
    <row r="66" spans="1:13" s="78" customFormat="1" ht="15.75" thickBot="1">
      <c r="A66" s="74"/>
      <c r="B66" s="69"/>
      <c r="C66" s="69"/>
      <c r="D66" s="69"/>
      <c r="E66" s="69"/>
      <c r="F66" s="69"/>
      <c r="G66" s="69"/>
      <c r="H66" s="69"/>
      <c r="I66" s="73"/>
      <c r="J66" s="75"/>
      <c r="K66" s="75"/>
      <c r="L66" s="76"/>
      <c r="M66" s="113"/>
    </row>
    <row r="67" spans="1:13" s="78" customFormat="1">
      <c r="A67" s="80"/>
      <c r="B67" s="75"/>
      <c r="C67" s="75"/>
      <c r="D67" s="75"/>
      <c r="E67" s="75"/>
      <c r="F67" s="75"/>
      <c r="G67" s="75"/>
      <c r="H67" s="75"/>
      <c r="I67" s="75"/>
      <c r="J67" s="75"/>
      <c r="K67" s="75"/>
      <c r="L67" s="76"/>
      <c r="M67" s="113"/>
    </row>
    <row r="68" spans="1:13" s="114" customFormat="1">
      <c r="A68" s="120" t="s">
        <v>33</v>
      </c>
      <c r="B68" s="16"/>
      <c r="C68" s="16"/>
      <c r="D68" s="16"/>
      <c r="E68" s="16"/>
      <c r="F68" s="16"/>
      <c r="G68" s="16"/>
      <c r="H68" s="16"/>
      <c r="I68" s="16"/>
      <c r="J68" s="16"/>
      <c r="K68" s="16"/>
      <c r="L68" s="18"/>
    </row>
    <row r="69" spans="1:13" s="114" customFormat="1">
      <c r="A69" s="115"/>
      <c r="B69" s="16"/>
      <c r="C69" s="16"/>
      <c r="D69" s="16"/>
      <c r="E69" s="16"/>
      <c r="F69" s="16"/>
      <c r="G69" s="16"/>
      <c r="H69" s="16"/>
      <c r="I69" s="16"/>
      <c r="J69" s="16"/>
      <c r="K69" s="16"/>
      <c r="L69" s="18"/>
    </row>
    <row r="70" spans="1:13" s="114" customFormat="1" ht="27.75" customHeight="1">
      <c r="A70" s="168" t="s">
        <v>833</v>
      </c>
      <c r="B70" s="168"/>
      <c r="C70" s="168"/>
      <c r="D70" s="168"/>
      <c r="E70" s="168"/>
      <c r="F70" s="168"/>
      <c r="G70" s="168"/>
      <c r="H70" s="168"/>
      <c r="I70" s="168"/>
      <c r="J70" s="17"/>
      <c r="K70" s="16"/>
      <c r="L70" s="18" t="s">
        <v>35</v>
      </c>
      <c r="M70" s="113" t="s">
        <v>809</v>
      </c>
    </row>
    <row r="71" spans="1:13" s="114" customFormat="1">
      <c r="A71" s="16"/>
      <c r="B71" s="16"/>
      <c r="C71" s="16"/>
      <c r="D71" s="16"/>
      <c r="E71" s="16"/>
      <c r="F71" s="16"/>
      <c r="G71" s="16"/>
      <c r="H71" s="16"/>
      <c r="I71" s="16"/>
      <c r="J71" s="17"/>
      <c r="K71" s="16"/>
      <c r="L71" s="18"/>
      <c r="M71" s="113"/>
    </row>
    <row r="72" spans="1:13" s="114" customFormat="1" ht="45">
      <c r="A72" s="16"/>
      <c r="B72" s="16" t="s">
        <v>36</v>
      </c>
      <c r="C72" s="16"/>
      <c r="D72" s="16"/>
      <c r="E72" s="179">
        <v>2.2499999999999999E-2</v>
      </c>
      <c r="F72" s="179"/>
      <c r="G72" s="179"/>
      <c r="H72" s="179"/>
      <c r="I72" s="16"/>
      <c r="J72" s="17"/>
      <c r="K72" s="16"/>
      <c r="L72" s="18"/>
      <c r="M72" s="112" t="s">
        <v>813</v>
      </c>
    </row>
    <row r="73" spans="1:13" s="114" customFormat="1" ht="32.25" customHeight="1">
      <c r="A73" s="16"/>
      <c r="B73" s="115" t="s">
        <v>37</v>
      </c>
      <c r="C73" s="16"/>
      <c r="D73" s="16"/>
      <c r="E73" s="180" t="s">
        <v>38</v>
      </c>
      <c r="F73" s="180"/>
      <c r="G73" s="180"/>
      <c r="H73" s="180"/>
      <c r="I73" s="16"/>
      <c r="J73" s="17"/>
      <c r="K73" s="16"/>
      <c r="L73" s="18"/>
      <c r="M73" s="112" t="s">
        <v>820</v>
      </c>
    </row>
    <row r="74" spans="1:13" s="114" customFormat="1" ht="54" customHeight="1">
      <c r="A74" s="16"/>
      <c r="B74" s="115" t="s">
        <v>39</v>
      </c>
      <c r="C74" s="16"/>
      <c r="D74" s="16"/>
      <c r="E74" s="161" t="s">
        <v>128</v>
      </c>
      <c r="F74" s="161"/>
      <c r="G74" s="161"/>
      <c r="H74" s="161"/>
      <c r="I74" s="16"/>
      <c r="J74" s="17"/>
      <c r="K74" s="16"/>
      <c r="L74" s="18"/>
      <c r="M74" s="112" t="s">
        <v>820</v>
      </c>
    </row>
    <row r="75" spans="1:13" s="114" customFormat="1">
      <c r="A75" s="16"/>
      <c r="B75" s="16"/>
      <c r="C75" s="16"/>
      <c r="D75" s="16"/>
      <c r="E75" s="16"/>
      <c r="F75" s="16"/>
      <c r="G75" s="16"/>
      <c r="H75" s="16"/>
      <c r="I75" s="16"/>
      <c r="J75" s="17"/>
      <c r="K75" s="16"/>
      <c r="L75" s="18"/>
    </row>
    <row r="76" spans="1:13" s="114" customFormat="1">
      <c r="A76" s="16"/>
      <c r="B76" s="16"/>
      <c r="C76" s="16"/>
      <c r="D76" s="16"/>
      <c r="E76" s="16"/>
      <c r="F76" s="16"/>
      <c r="G76" s="16"/>
      <c r="H76" s="16"/>
      <c r="I76" s="16"/>
      <c r="J76" s="17"/>
      <c r="K76" s="16"/>
      <c r="L76" s="18"/>
    </row>
    <row r="77" spans="1:13" s="114" customFormat="1" ht="104.25" customHeight="1">
      <c r="A77" s="168" t="s">
        <v>167</v>
      </c>
      <c r="B77" s="168"/>
      <c r="C77" s="168"/>
      <c r="D77" s="168"/>
      <c r="E77" s="168"/>
      <c r="F77" s="168"/>
      <c r="G77" s="168"/>
      <c r="H77" s="168"/>
      <c r="I77" s="168"/>
      <c r="J77" s="17"/>
      <c r="K77" s="16"/>
      <c r="L77" s="18">
        <v>166</v>
      </c>
      <c r="M77" s="113" t="s">
        <v>822</v>
      </c>
    </row>
    <row r="78" spans="1:13" s="114" customFormat="1">
      <c r="A78" s="16"/>
      <c r="B78" s="16"/>
      <c r="C78" s="16"/>
      <c r="D78" s="16"/>
      <c r="E78" s="16"/>
      <c r="F78" s="16"/>
      <c r="G78" s="16"/>
      <c r="H78" s="16"/>
      <c r="I78" s="16"/>
      <c r="J78" s="17"/>
      <c r="K78" s="16"/>
      <c r="L78" s="18"/>
    </row>
    <row r="79" spans="1:13" s="114" customFormat="1" ht="50.25" customHeight="1">
      <c r="A79" s="168" t="s">
        <v>834</v>
      </c>
      <c r="B79" s="168"/>
      <c r="C79" s="168"/>
      <c r="D79" s="168"/>
      <c r="E79" s="168"/>
      <c r="F79" s="168"/>
      <c r="G79" s="168"/>
      <c r="H79" s="168"/>
      <c r="I79" s="168"/>
      <c r="J79" s="17"/>
      <c r="K79" s="16"/>
      <c r="L79" s="18">
        <v>166</v>
      </c>
      <c r="M79" s="113" t="s">
        <v>813</v>
      </c>
    </row>
    <row r="80" spans="1:13" s="114" customFormat="1">
      <c r="A80" s="16"/>
      <c r="B80" s="16"/>
      <c r="C80" s="16"/>
      <c r="D80" s="16"/>
      <c r="E80" s="16"/>
      <c r="F80" s="16"/>
      <c r="G80" s="16"/>
      <c r="H80" s="16"/>
      <c r="I80" s="16"/>
      <c r="J80" s="17"/>
      <c r="K80" s="16"/>
      <c r="L80" s="18"/>
    </row>
    <row r="81" spans="1:13" s="114" customFormat="1">
      <c r="A81" s="120" t="s">
        <v>44</v>
      </c>
      <c r="B81" s="16"/>
      <c r="C81" s="16"/>
      <c r="D81" s="16"/>
      <c r="E81" s="16"/>
      <c r="F81" s="16"/>
      <c r="G81" s="16"/>
      <c r="H81" s="16"/>
      <c r="I81" s="16"/>
      <c r="J81" s="17"/>
      <c r="K81" s="16"/>
      <c r="L81" s="18">
        <v>168</v>
      </c>
    </row>
    <row r="82" spans="1:13" s="114" customFormat="1">
      <c r="A82" s="16"/>
      <c r="B82" s="16"/>
      <c r="C82" s="16"/>
      <c r="D82" s="16"/>
      <c r="E82" s="16"/>
      <c r="F82" s="16"/>
      <c r="G82" s="16"/>
      <c r="H82" s="16"/>
      <c r="I82" s="16"/>
      <c r="J82" s="17"/>
      <c r="K82" s="16"/>
      <c r="L82" s="18"/>
    </row>
    <row r="83" spans="1:13" s="114" customFormat="1">
      <c r="A83" s="181" t="s">
        <v>898</v>
      </c>
      <c r="B83" s="181"/>
      <c r="C83" s="16"/>
      <c r="D83" s="16"/>
      <c r="E83" s="16"/>
      <c r="F83" s="17"/>
      <c r="G83" s="16"/>
      <c r="H83" s="16"/>
      <c r="I83" s="16"/>
      <c r="J83" s="17"/>
      <c r="K83" s="16"/>
      <c r="L83" s="18"/>
    </row>
    <row r="84" spans="1:13" s="114" customFormat="1" ht="39">
      <c r="A84" s="16"/>
      <c r="B84" s="16"/>
      <c r="C84" s="16"/>
      <c r="D84" s="16"/>
      <c r="E84" s="16"/>
      <c r="F84" s="121" t="s">
        <v>45</v>
      </c>
      <c r="G84" s="117"/>
      <c r="H84" s="117"/>
      <c r="I84" s="117"/>
      <c r="J84" s="17"/>
      <c r="K84" s="16"/>
      <c r="L84" s="18"/>
    </row>
    <row r="85" spans="1:13" s="114" customFormat="1" ht="30">
      <c r="A85" s="16" t="s">
        <v>46</v>
      </c>
      <c r="B85" s="16"/>
      <c r="C85" s="16"/>
      <c r="D85" s="16"/>
      <c r="E85" s="16"/>
      <c r="F85" s="122">
        <f>VLOOKUP($A$2,'TNP Results'!$A$4:$AG$48,6,FALSE)/1000</f>
        <v>301.93200000000002</v>
      </c>
      <c r="G85" s="123"/>
      <c r="H85" s="123"/>
      <c r="I85" s="16"/>
      <c r="J85" s="17"/>
      <c r="K85" s="16"/>
      <c r="L85" s="18" t="s">
        <v>47</v>
      </c>
      <c r="M85" s="112" t="s">
        <v>819</v>
      </c>
    </row>
    <row r="86" spans="1:13" s="114" customFormat="1">
      <c r="A86" s="16" t="s">
        <v>48</v>
      </c>
      <c r="B86" s="16"/>
      <c r="C86" s="16"/>
      <c r="D86" s="16"/>
      <c r="E86" s="16"/>
      <c r="F86" s="16"/>
      <c r="G86" s="17"/>
      <c r="H86" s="17"/>
      <c r="I86" s="16"/>
      <c r="J86" s="17"/>
      <c r="K86" s="16"/>
      <c r="L86" s="18"/>
      <c r="M86" s="112"/>
    </row>
    <row r="87" spans="1:13" s="114" customFormat="1">
      <c r="A87" s="124" t="s">
        <v>49</v>
      </c>
      <c r="B87" s="16"/>
      <c r="C87" s="16"/>
      <c r="D87" s="16"/>
      <c r="E87" s="16"/>
      <c r="F87" s="125">
        <f>VLOOKUP($A$2,'TNP Results'!$A$4:$AG$48,14,FALSE)/1000</f>
        <v>11.797000000000001</v>
      </c>
      <c r="G87" s="126"/>
      <c r="H87" s="126"/>
      <c r="I87" s="16"/>
      <c r="J87" s="17"/>
      <c r="K87" s="16"/>
      <c r="L87" s="18" t="s">
        <v>50</v>
      </c>
      <c r="M87" s="112" t="s">
        <v>820</v>
      </c>
    </row>
    <row r="88" spans="1:13" s="114" customFormat="1">
      <c r="A88" s="124" t="s">
        <v>51</v>
      </c>
      <c r="B88" s="16"/>
      <c r="C88" s="16"/>
      <c r="D88" s="16"/>
      <c r="E88" s="16"/>
      <c r="F88" s="125">
        <f>VLOOKUP($A$2,'TNP Results'!$A$4:$AG$48,15,FALSE)/1000</f>
        <v>9.093</v>
      </c>
      <c r="G88" s="126"/>
      <c r="H88" s="126"/>
      <c r="I88" s="16"/>
      <c r="J88" s="17"/>
      <c r="K88" s="16"/>
      <c r="L88" s="18" t="s">
        <v>52</v>
      </c>
      <c r="M88" s="112" t="s">
        <v>820</v>
      </c>
    </row>
    <row r="89" spans="1:13" s="114" customFormat="1">
      <c r="A89" s="124" t="s">
        <v>53</v>
      </c>
      <c r="B89" s="16"/>
      <c r="C89" s="16"/>
      <c r="D89" s="16"/>
      <c r="E89" s="16"/>
      <c r="F89" s="125">
        <f>VLOOKUP($A$2,'TNP Results'!$A$4:$AG$48,16,FALSE)/1000</f>
        <v>0</v>
      </c>
      <c r="G89" s="126"/>
      <c r="H89" s="126"/>
      <c r="I89" s="16"/>
      <c r="J89" s="17"/>
      <c r="K89" s="16"/>
      <c r="L89" s="18" t="s">
        <v>54</v>
      </c>
      <c r="M89" s="112" t="s">
        <v>820</v>
      </c>
    </row>
    <row r="90" spans="1:13" s="114" customFormat="1">
      <c r="A90" s="124" t="s">
        <v>55</v>
      </c>
      <c r="B90" s="16"/>
      <c r="C90" s="16"/>
      <c r="D90" s="16"/>
      <c r="E90" s="16"/>
      <c r="F90" s="125">
        <f>VLOOKUP($A$2,'TNP Results'!$A$4:$AG$48,17,FALSE)/1000</f>
        <v>0</v>
      </c>
      <c r="G90" s="126"/>
      <c r="H90" s="126"/>
      <c r="I90" s="16"/>
      <c r="J90" s="17"/>
      <c r="K90" s="16"/>
      <c r="L90" s="18" t="s">
        <v>56</v>
      </c>
      <c r="M90" s="112" t="s">
        <v>820</v>
      </c>
    </row>
    <row r="91" spans="1:13" s="114" customFormat="1">
      <c r="A91" s="124" t="s">
        <v>57</v>
      </c>
      <c r="B91" s="16"/>
      <c r="C91" s="16"/>
      <c r="D91" s="16"/>
      <c r="E91" s="16"/>
      <c r="F91" s="125">
        <f>VLOOKUP($A$2,'TNP Results'!$A$4:$AG$48,18,FALSE)/1000</f>
        <v>-29.553000000000001</v>
      </c>
      <c r="G91" s="126"/>
      <c r="H91" s="126"/>
      <c r="I91" s="16"/>
      <c r="J91" s="17"/>
      <c r="K91" s="16"/>
      <c r="L91" s="18" t="s">
        <v>58</v>
      </c>
      <c r="M91" s="112" t="s">
        <v>820</v>
      </c>
    </row>
    <row r="92" spans="1:13" s="114" customFormat="1">
      <c r="A92" s="124" t="s">
        <v>59</v>
      </c>
      <c r="B92" s="16"/>
      <c r="C92" s="16"/>
      <c r="D92" s="16"/>
      <c r="E92" s="16"/>
      <c r="F92" s="125">
        <f>VLOOKUP($A$2,'TNP Results'!$A$4:$AG$48,19,FALSE)/1000</f>
        <v>-4.6500000000000004</v>
      </c>
      <c r="G92" s="126"/>
      <c r="H92" s="126"/>
      <c r="I92" s="16"/>
      <c r="J92" s="17"/>
      <c r="K92" s="16"/>
      <c r="L92" s="18" t="s">
        <v>60</v>
      </c>
      <c r="M92" s="112" t="s">
        <v>820</v>
      </c>
    </row>
    <row r="93" spans="1:13" s="114" customFormat="1">
      <c r="A93" s="16"/>
      <c r="B93" s="16" t="s">
        <v>61</v>
      </c>
      <c r="C93" s="16"/>
      <c r="D93" s="16"/>
      <c r="E93" s="16"/>
      <c r="F93" s="127">
        <f>SUM(F86:F92)</f>
        <v>-13.313000000000001</v>
      </c>
      <c r="G93" s="126"/>
      <c r="H93" s="126"/>
      <c r="I93" s="16"/>
      <c r="J93" s="17"/>
      <c r="K93" s="16"/>
      <c r="L93" s="18"/>
      <c r="M93" s="112"/>
    </row>
    <row r="94" spans="1:13" s="114" customFormat="1" ht="15.75" thickBot="1">
      <c r="A94" s="16" t="s">
        <v>62</v>
      </c>
      <c r="B94" s="16"/>
      <c r="C94" s="16"/>
      <c r="D94" s="16"/>
      <c r="E94" s="16"/>
      <c r="F94" s="128">
        <f>F85+F93</f>
        <v>288.61900000000003</v>
      </c>
      <c r="G94" s="123"/>
      <c r="H94" s="123"/>
      <c r="I94" s="16"/>
      <c r="J94" s="17"/>
      <c r="K94" s="16"/>
      <c r="L94" s="18" t="s">
        <v>63</v>
      </c>
      <c r="M94" s="112" t="s">
        <v>820</v>
      </c>
    </row>
    <row r="95" spans="1:13" s="114" customFormat="1" ht="16.5" thickTop="1" thickBot="1">
      <c r="A95" s="16"/>
      <c r="B95" s="16"/>
      <c r="C95" s="16"/>
      <c r="D95" s="16"/>
      <c r="E95" s="16"/>
      <c r="F95" s="16"/>
      <c r="G95" s="17"/>
      <c r="H95" s="17"/>
      <c r="I95" s="16"/>
      <c r="J95" s="17"/>
      <c r="K95" s="16"/>
      <c r="L95" s="18"/>
    </row>
    <row r="96" spans="1:13" s="78" customFormat="1">
      <c r="A96" s="63" t="s">
        <v>754</v>
      </c>
      <c r="B96" s="64"/>
      <c r="C96" s="64"/>
      <c r="D96" s="64"/>
      <c r="E96" s="64"/>
      <c r="F96" s="64"/>
      <c r="G96" s="64"/>
      <c r="H96" s="64"/>
      <c r="I96" s="65"/>
      <c r="J96" s="75"/>
      <c r="K96" s="75"/>
      <c r="L96" s="76"/>
      <c r="M96" s="113"/>
    </row>
    <row r="97" spans="1:13" s="78" customFormat="1" ht="30">
      <c r="A97" s="66" t="s">
        <v>756</v>
      </c>
      <c r="B97" s="67"/>
      <c r="C97" s="67"/>
      <c r="D97" s="70">
        <f>VLOOKUP($A$2,'TNP Results'!$A$4:$AG$48,5,FALSE)/1000</f>
        <v>288.61900000000003</v>
      </c>
      <c r="E97" s="67"/>
      <c r="F97" s="67"/>
      <c r="G97" s="67"/>
      <c r="H97" s="67"/>
      <c r="I97" s="68"/>
      <c r="J97" s="75"/>
      <c r="K97" s="75"/>
      <c r="L97" s="76"/>
      <c r="M97" s="113" t="s">
        <v>819</v>
      </c>
    </row>
    <row r="98" spans="1:13" s="78" customFormat="1" ht="15.75" thickBot="1">
      <c r="A98" s="74"/>
      <c r="B98" s="69"/>
      <c r="C98" s="69"/>
      <c r="D98" s="69"/>
      <c r="E98" s="69"/>
      <c r="F98" s="69"/>
      <c r="G98" s="69"/>
      <c r="H98" s="69"/>
      <c r="I98" s="73"/>
      <c r="J98" s="75"/>
      <c r="K98" s="75"/>
      <c r="L98" s="76"/>
      <c r="M98" s="113"/>
    </row>
    <row r="99" spans="1:13" s="78" customFormat="1">
      <c r="A99" s="71"/>
      <c r="B99" s="82"/>
      <c r="C99" s="82"/>
      <c r="D99" s="82"/>
      <c r="E99" s="82"/>
      <c r="F99" s="82"/>
      <c r="G99" s="82"/>
      <c r="H99" s="82"/>
      <c r="I99" s="82"/>
      <c r="J99" s="75"/>
      <c r="K99" s="75"/>
      <c r="L99" s="76"/>
      <c r="M99" s="113"/>
    </row>
    <row r="100" spans="1:13" s="114" customFormat="1" ht="27" customHeight="1">
      <c r="A100" s="168" t="s">
        <v>835</v>
      </c>
      <c r="B100" s="168"/>
      <c r="C100" s="168"/>
      <c r="D100" s="168"/>
      <c r="E100" s="168"/>
      <c r="F100" s="168"/>
      <c r="G100" s="168"/>
      <c r="H100" s="168"/>
      <c r="I100" s="168"/>
      <c r="J100" s="17"/>
      <c r="K100" s="16"/>
      <c r="L100" s="18" t="s">
        <v>65</v>
      </c>
      <c r="M100" s="113" t="s">
        <v>813</v>
      </c>
    </row>
    <row r="101" spans="1:13" s="114" customFormat="1">
      <c r="A101" s="16"/>
      <c r="B101" s="16"/>
      <c r="C101" s="16"/>
      <c r="D101" s="16"/>
      <c r="E101" s="16"/>
      <c r="F101" s="16"/>
      <c r="G101" s="16"/>
      <c r="H101" s="16"/>
      <c r="I101" s="16"/>
      <c r="J101" s="17"/>
      <c r="K101" s="16"/>
      <c r="L101" s="18"/>
    </row>
    <row r="102" spans="1:13" s="114" customFormat="1" ht="30.75" hidden="1" customHeight="1">
      <c r="A102" s="168" t="s">
        <v>836</v>
      </c>
      <c r="B102" s="168"/>
      <c r="C102" s="168"/>
      <c r="D102" s="168"/>
      <c r="E102" s="168"/>
      <c r="F102" s="168"/>
      <c r="G102" s="168"/>
      <c r="H102" s="168"/>
      <c r="I102" s="168"/>
      <c r="J102" s="17"/>
      <c r="K102" s="16"/>
      <c r="L102" s="18" t="s">
        <v>67</v>
      </c>
      <c r="M102" s="114" t="s">
        <v>68</v>
      </c>
    </row>
    <row r="103" spans="1:13" s="114" customFormat="1" hidden="1">
      <c r="A103" s="16"/>
      <c r="B103" s="16"/>
      <c r="C103" s="16"/>
      <c r="D103" s="16"/>
      <c r="E103" s="16"/>
      <c r="F103" s="16"/>
      <c r="G103" s="16"/>
      <c r="H103" s="16"/>
      <c r="I103" s="16"/>
      <c r="J103" s="17"/>
      <c r="K103" s="16"/>
      <c r="L103" s="18"/>
    </row>
    <row r="104" spans="1:13" s="114" customFormat="1" ht="31.5" hidden="1" customHeight="1">
      <c r="A104" s="168" t="s">
        <v>837</v>
      </c>
      <c r="B104" s="168"/>
      <c r="C104" s="168"/>
      <c r="D104" s="168"/>
      <c r="E104" s="168"/>
      <c r="F104" s="168"/>
      <c r="G104" s="168"/>
      <c r="H104" s="168"/>
      <c r="I104" s="168"/>
      <c r="J104" s="17"/>
      <c r="K104" s="16"/>
      <c r="L104" s="18" t="s">
        <v>70</v>
      </c>
      <c r="M104" s="114" t="s">
        <v>68</v>
      </c>
    </row>
    <row r="105" spans="1:13" s="114" customFormat="1" hidden="1">
      <c r="A105" s="16"/>
      <c r="B105" s="16"/>
      <c r="C105" s="16"/>
      <c r="D105" s="16"/>
      <c r="E105" s="16"/>
      <c r="F105" s="16"/>
      <c r="G105" s="16"/>
      <c r="H105" s="16"/>
      <c r="I105" s="16"/>
      <c r="J105" s="17"/>
      <c r="K105" s="16"/>
      <c r="L105" s="18"/>
    </row>
    <row r="106" spans="1:13" s="114" customFormat="1" ht="48" hidden="1" customHeight="1">
      <c r="A106" s="168" t="s">
        <v>838</v>
      </c>
      <c r="B106" s="168"/>
      <c r="C106" s="168"/>
      <c r="D106" s="168"/>
      <c r="E106" s="168"/>
      <c r="F106" s="168"/>
      <c r="G106" s="168"/>
      <c r="H106" s="168"/>
      <c r="I106" s="168"/>
      <c r="J106" s="17"/>
      <c r="K106" s="16"/>
      <c r="L106" s="18" t="s">
        <v>72</v>
      </c>
      <c r="M106" s="114" t="s">
        <v>68</v>
      </c>
    </row>
    <row r="107" spans="1:13" s="114" customFormat="1" hidden="1">
      <c r="A107" s="16"/>
      <c r="B107" s="16"/>
      <c r="C107" s="16"/>
      <c r="D107" s="16"/>
      <c r="E107" s="16"/>
      <c r="F107" s="16"/>
      <c r="G107" s="16"/>
      <c r="H107" s="16"/>
      <c r="I107" s="16"/>
      <c r="J107" s="17"/>
      <c r="K107" s="16"/>
      <c r="L107" s="18"/>
    </row>
    <row r="108" spans="1:13" s="114" customFormat="1" ht="42.75" customHeight="1">
      <c r="A108" s="168" t="s">
        <v>899</v>
      </c>
      <c r="B108" s="168"/>
      <c r="C108" s="168"/>
      <c r="D108" s="168"/>
      <c r="E108" s="168"/>
      <c r="F108" s="168"/>
      <c r="G108" s="168"/>
      <c r="H108" s="168"/>
      <c r="I108" s="169"/>
      <c r="J108" s="17"/>
      <c r="K108" s="16"/>
      <c r="L108" s="18" t="s">
        <v>73</v>
      </c>
      <c r="M108" s="113" t="s">
        <v>809</v>
      </c>
    </row>
    <row r="109" spans="1:13" s="114" customFormat="1">
      <c r="A109" s="16"/>
      <c r="B109" s="16"/>
      <c r="C109" s="16"/>
      <c r="D109" s="16"/>
      <c r="E109" s="16"/>
      <c r="F109" s="16"/>
      <c r="G109" s="16"/>
      <c r="H109" s="16"/>
      <c r="I109" s="16"/>
      <c r="J109" s="17"/>
      <c r="K109" s="16"/>
      <c r="L109" s="18"/>
      <c r="M109" s="113"/>
    </row>
    <row r="110" spans="1:13" s="114" customFormat="1" ht="32.25" customHeight="1">
      <c r="A110" s="16"/>
      <c r="B110" s="16"/>
      <c r="C110" s="16"/>
      <c r="D110" s="175" t="s">
        <v>74</v>
      </c>
      <c r="E110" s="176"/>
      <c r="F110" s="175" t="s">
        <v>75</v>
      </c>
      <c r="G110" s="176"/>
      <c r="H110" s="175" t="s">
        <v>76</v>
      </c>
      <c r="I110" s="176"/>
      <c r="J110" s="17"/>
      <c r="K110" s="16"/>
      <c r="L110" s="18"/>
      <c r="M110" s="149" t="s">
        <v>823</v>
      </c>
    </row>
    <row r="111" spans="1:13" s="114" customFormat="1">
      <c r="A111" s="16" t="s">
        <v>77</v>
      </c>
      <c r="B111" s="16"/>
      <c r="C111" s="16"/>
      <c r="D111" s="129" t="s">
        <v>78</v>
      </c>
      <c r="E111" s="125">
        <f>VLOOKUP($A$2,'TNP Results'!$A$4:$AG$48,10,FALSE)/1000</f>
        <v>336.43799999999999</v>
      </c>
      <c r="F111" s="129" t="s">
        <v>78</v>
      </c>
      <c r="G111" s="125">
        <f>VLOOKUP($A$2,'TNP Results'!$A$4:$AG$48,5,FALSE)/1000</f>
        <v>288.61900000000003</v>
      </c>
      <c r="H111" s="129" t="s">
        <v>78</v>
      </c>
      <c r="I111" s="125">
        <f>VLOOKUP($A$2,'TNP Results'!$A$4:$AG$48,11,FALSE)/1000</f>
        <v>248.917</v>
      </c>
      <c r="J111" s="17"/>
      <c r="K111" s="16"/>
      <c r="L111" s="18"/>
      <c r="M111" s="149"/>
    </row>
    <row r="112" spans="1:13" s="114" customFormat="1">
      <c r="A112" s="16"/>
      <c r="B112" s="16"/>
      <c r="C112" s="16"/>
      <c r="D112" s="16"/>
      <c r="E112" s="125"/>
      <c r="F112" s="16"/>
      <c r="G112" s="125"/>
      <c r="H112" s="16"/>
      <c r="I112" s="125"/>
      <c r="J112" s="17"/>
      <c r="K112" s="16"/>
      <c r="L112" s="18"/>
    </row>
    <row r="113" spans="1:13" s="114" customFormat="1" ht="69.75" hidden="1" customHeight="1">
      <c r="A113" s="168" t="s">
        <v>839</v>
      </c>
      <c r="B113" s="168"/>
      <c r="C113" s="168"/>
      <c r="D113" s="168"/>
      <c r="E113" s="168"/>
      <c r="F113" s="168"/>
      <c r="G113" s="168"/>
      <c r="H113" s="168"/>
      <c r="I113" s="169"/>
      <c r="J113" s="17"/>
      <c r="K113" s="16"/>
      <c r="L113" s="18" t="s">
        <v>79</v>
      </c>
    </row>
    <row r="114" spans="1:13" s="114" customFormat="1" hidden="1">
      <c r="A114" s="16"/>
      <c r="B114" s="16"/>
      <c r="C114" s="16"/>
      <c r="D114" s="16"/>
      <c r="E114" s="16"/>
      <c r="F114" s="16"/>
      <c r="G114" s="16"/>
      <c r="H114" s="16"/>
      <c r="I114" s="16"/>
      <c r="J114" s="17"/>
      <c r="K114" s="16"/>
      <c r="L114" s="18"/>
    </row>
    <row r="115" spans="1:13" s="114" customFormat="1" ht="42" hidden="1" customHeight="1">
      <c r="A115" s="16"/>
      <c r="B115" s="16"/>
      <c r="C115" s="16"/>
      <c r="D115" s="175" t="s">
        <v>130</v>
      </c>
      <c r="E115" s="176"/>
      <c r="F115" s="175" t="s">
        <v>131</v>
      </c>
      <c r="G115" s="176"/>
      <c r="H115" s="175" t="s">
        <v>132</v>
      </c>
      <c r="I115" s="176"/>
      <c r="J115" s="17"/>
      <c r="K115" s="16"/>
      <c r="L115" s="18"/>
    </row>
    <row r="116" spans="1:13" s="114" customFormat="1" hidden="1">
      <c r="A116" s="16" t="s">
        <v>77</v>
      </c>
      <c r="B116" s="16"/>
      <c r="C116" s="16"/>
      <c r="D116" s="129" t="s">
        <v>78</v>
      </c>
      <c r="E116" s="125">
        <v>-22000</v>
      </c>
      <c r="F116" s="129" t="s">
        <v>78</v>
      </c>
      <c r="G116" s="125">
        <v>50000</v>
      </c>
      <c r="H116" s="129" t="s">
        <v>78</v>
      </c>
      <c r="I116" s="125">
        <v>75000</v>
      </c>
      <c r="J116" s="17"/>
      <c r="K116" s="16"/>
      <c r="L116" s="18"/>
    </row>
    <row r="117" spans="1:13" s="114" customFormat="1" hidden="1">
      <c r="A117" s="16"/>
      <c r="B117" s="16"/>
      <c r="C117" s="16"/>
      <c r="D117" s="16"/>
      <c r="E117" s="16"/>
      <c r="F117" s="16"/>
      <c r="G117" s="16"/>
      <c r="H117" s="16"/>
      <c r="I117" s="16"/>
      <c r="J117" s="17"/>
      <c r="K117" s="16"/>
      <c r="L117" s="18"/>
    </row>
    <row r="118" spans="1:13" s="114" customFormat="1">
      <c r="A118" s="120" t="s">
        <v>80</v>
      </c>
      <c r="B118" s="16"/>
      <c r="C118" s="16"/>
      <c r="D118" s="16"/>
      <c r="E118" s="16"/>
      <c r="F118" s="16"/>
      <c r="G118" s="16"/>
      <c r="H118" s="16"/>
      <c r="I118" s="16"/>
      <c r="J118" s="17"/>
      <c r="K118" s="16"/>
      <c r="L118" s="18"/>
    </row>
    <row r="119" spans="1:13" s="114" customFormat="1">
      <c r="A119" s="16"/>
      <c r="B119" s="16"/>
      <c r="C119" s="16"/>
      <c r="D119" s="16"/>
      <c r="E119" s="16"/>
      <c r="F119" s="16"/>
      <c r="G119" s="16"/>
      <c r="H119" s="16"/>
      <c r="I119" s="16"/>
      <c r="J119" s="17"/>
      <c r="K119" s="16"/>
      <c r="L119" s="18"/>
    </row>
    <row r="120" spans="1:13" s="114" customFormat="1" ht="19.5" customHeight="1">
      <c r="A120" s="168" t="s">
        <v>840</v>
      </c>
      <c r="B120" s="168"/>
      <c r="C120" s="168"/>
      <c r="D120" s="168"/>
      <c r="E120" s="168"/>
      <c r="F120" s="168"/>
      <c r="G120" s="168"/>
      <c r="H120" s="168"/>
      <c r="I120" s="168"/>
      <c r="J120" s="17"/>
      <c r="K120" s="16"/>
      <c r="L120" s="18" t="s">
        <v>82</v>
      </c>
      <c r="M120" s="113" t="s">
        <v>809</v>
      </c>
    </row>
    <row r="121" spans="1:13" s="114" customFormat="1" ht="15.75" thickBot="1">
      <c r="A121" s="16"/>
      <c r="B121" s="16"/>
      <c r="C121" s="16"/>
      <c r="D121" s="16"/>
      <c r="E121" s="16"/>
      <c r="F121" s="16"/>
      <c r="G121" s="16"/>
      <c r="H121" s="16"/>
      <c r="I121" s="16"/>
      <c r="J121" s="17"/>
      <c r="K121" s="16"/>
      <c r="L121" s="18"/>
    </row>
    <row r="122" spans="1:13" s="78" customFormat="1">
      <c r="A122" s="63" t="s">
        <v>754</v>
      </c>
      <c r="B122" s="64"/>
      <c r="C122" s="64"/>
      <c r="D122" s="64"/>
      <c r="E122" s="64"/>
      <c r="F122" s="64"/>
      <c r="G122" s="64"/>
      <c r="H122" s="64"/>
      <c r="I122" s="65"/>
      <c r="J122" s="75"/>
      <c r="K122" s="75"/>
      <c r="L122" s="76"/>
      <c r="M122" s="113"/>
    </row>
    <row r="123" spans="1:13" s="78" customFormat="1">
      <c r="A123" s="66" t="s">
        <v>758</v>
      </c>
      <c r="B123" s="67"/>
      <c r="C123" s="67"/>
      <c r="D123" s="70">
        <f>VLOOKUP($A$2,'TNP Results'!$A$4:$AG$48,7,FALSE)/1000</f>
        <v>17.492999999999999</v>
      </c>
      <c r="E123" s="67"/>
      <c r="F123" s="67"/>
      <c r="G123" s="67"/>
      <c r="H123" s="67"/>
      <c r="I123" s="68"/>
      <c r="J123" s="75"/>
      <c r="K123" s="75"/>
      <c r="L123" s="76"/>
      <c r="M123" s="113" t="s">
        <v>825</v>
      </c>
    </row>
    <row r="124" spans="1:13" s="78" customFormat="1" ht="15.75" thickBot="1">
      <c r="A124" s="74"/>
      <c r="B124" s="69"/>
      <c r="C124" s="69"/>
      <c r="D124" s="69"/>
      <c r="E124" s="69"/>
      <c r="F124" s="69"/>
      <c r="G124" s="69"/>
      <c r="H124" s="69"/>
      <c r="I124" s="73"/>
      <c r="J124" s="75"/>
      <c r="K124" s="75"/>
      <c r="L124" s="76"/>
      <c r="M124" s="113"/>
    </row>
    <row r="125" spans="1:13" s="78" customFormat="1">
      <c r="A125" s="71"/>
      <c r="B125" s="82"/>
      <c r="C125" s="82"/>
      <c r="D125" s="82"/>
      <c r="E125" s="82"/>
      <c r="F125" s="82"/>
      <c r="G125" s="82"/>
      <c r="H125" s="82"/>
      <c r="I125" s="82"/>
      <c r="J125" s="75"/>
      <c r="K125" s="75"/>
      <c r="L125" s="76"/>
      <c r="M125" s="113"/>
    </row>
    <row r="126" spans="1:13" s="114" customFormat="1" ht="33.75" customHeight="1">
      <c r="A126" s="168" t="s">
        <v>841</v>
      </c>
      <c r="B126" s="168"/>
      <c r="C126" s="168"/>
      <c r="D126" s="168"/>
      <c r="E126" s="168"/>
      <c r="F126" s="168"/>
      <c r="G126" s="168"/>
      <c r="H126" s="168"/>
      <c r="I126" s="168"/>
      <c r="J126" s="17"/>
      <c r="K126" s="16"/>
      <c r="L126" s="18" t="s">
        <v>83</v>
      </c>
      <c r="M126" s="113" t="s">
        <v>809</v>
      </c>
    </row>
    <row r="127" spans="1:13" s="114" customFormat="1">
      <c r="A127" s="116"/>
      <c r="B127" s="116"/>
      <c r="C127" s="116"/>
      <c r="D127" s="116"/>
      <c r="E127" s="116"/>
      <c r="F127" s="116"/>
      <c r="G127" s="116"/>
      <c r="H127" s="116"/>
      <c r="I127" s="116"/>
      <c r="J127" s="17"/>
      <c r="K127" s="16"/>
      <c r="L127" s="18"/>
      <c r="M127" s="113"/>
    </row>
    <row r="128" spans="1:13" s="114" customFormat="1">
      <c r="A128" s="177" t="s">
        <v>129</v>
      </c>
      <c r="B128" s="177"/>
      <c r="C128" s="116"/>
      <c r="D128" s="116"/>
      <c r="E128" s="116"/>
      <c r="F128" s="116"/>
      <c r="G128" s="116"/>
      <c r="H128" s="116"/>
      <c r="I128" s="116"/>
      <c r="J128" s="17"/>
      <c r="K128" s="16"/>
      <c r="L128" s="18"/>
      <c r="M128" s="113"/>
    </row>
    <row r="129" spans="1:13" s="114" customFormat="1" ht="39">
      <c r="A129" s="116"/>
      <c r="B129" s="116"/>
      <c r="C129" s="116"/>
      <c r="D129" s="116"/>
      <c r="E129" s="116"/>
      <c r="F129" s="116"/>
      <c r="G129" s="121" t="s">
        <v>84</v>
      </c>
      <c r="H129" s="116"/>
      <c r="I129" s="121" t="s">
        <v>85</v>
      </c>
      <c r="J129" s="17"/>
      <c r="K129" s="16"/>
      <c r="L129" s="18"/>
      <c r="M129" s="113"/>
    </row>
    <row r="130" spans="1:13" s="114" customFormat="1" ht="75">
      <c r="A130" s="130" t="s">
        <v>86</v>
      </c>
      <c r="B130" s="116"/>
      <c r="C130" s="116"/>
      <c r="D130" s="116"/>
      <c r="E130" s="116"/>
      <c r="F130" s="116"/>
      <c r="G130" s="131">
        <f>VLOOKUP($A$2,'TNP Results'!$A$4:$AG$48,25,FALSE)/1000</f>
        <v>0</v>
      </c>
      <c r="H130" s="131"/>
      <c r="I130" s="131">
        <f>VLOOKUP($A$2,'TNP Results'!$A$4:$AG$48,23,FALSE)/1000</f>
        <v>0</v>
      </c>
      <c r="J130" s="17"/>
      <c r="K130" s="16"/>
      <c r="L130" s="18" t="s">
        <v>87</v>
      </c>
      <c r="M130" s="112" t="s">
        <v>826</v>
      </c>
    </row>
    <row r="131" spans="1:13" s="114" customFormat="1">
      <c r="A131" s="130" t="s">
        <v>88</v>
      </c>
      <c r="B131" s="116"/>
      <c r="C131" s="116"/>
      <c r="D131" s="116"/>
      <c r="E131" s="116"/>
      <c r="F131" s="116"/>
      <c r="G131" s="132">
        <f>VLOOKUP($A$2,'TNP Results'!$A$4:$AG$48,26,FALSE)/1000</f>
        <v>0</v>
      </c>
      <c r="H131" s="132"/>
      <c r="I131" s="132">
        <f>VLOOKUP($A$2,'TNP Results'!$A$4:$AG$48,24,FALSE)/1000</f>
        <v>26.155999999999999</v>
      </c>
      <c r="J131" s="17"/>
      <c r="K131" s="16"/>
      <c r="L131" s="18" t="s">
        <v>89</v>
      </c>
      <c r="M131" s="112" t="s">
        <v>820</v>
      </c>
    </row>
    <row r="132" spans="1:13" s="114" customFormat="1" ht="15.75" customHeight="1">
      <c r="A132" s="130" t="s">
        <v>90</v>
      </c>
      <c r="B132" s="116"/>
      <c r="C132" s="116"/>
      <c r="D132" s="116"/>
      <c r="E132" s="116"/>
      <c r="F132" s="116"/>
      <c r="G132" s="133">
        <f>VLOOKUP($A$2,'TNP Results'!$A$4:$AG$48,8,FALSE)/1000</f>
        <v>4.7625000000000002</v>
      </c>
      <c r="H132" s="132"/>
      <c r="I132" s="133">
        <v>0</v>
      </c>
      <c r="J132" s="17"/>
      <c r="K132" s="16"/>
      <c r="L132" s="18" t="s">
        <v>91</v>
      </c>
      <c r="M132" s="112" t="s">
        <v>820</v>
      </c>
    </row>
    <row r="133" spans="1:13" s="114" customFormat="1" ht="15.75" thickBot="1">
      <c r="A133" s="116"/>
      <c r="B133" s="116" t="s">
        <v>92</v>
      </c>
      <c r="C133" s="116"/>
      <c r="D133" s="116"/>
      <c r="E133" s="116"/>
      <c r="F133" s="116"/>
      <c r="G133" s="134">
        <f>SUM(G130:G132)</f>
        <v>4.7625000000000002</v>
      </c>
      <c r="H133" s="135"/>
      <c r="I133" s="134">
        <f>SUM(I130:I132)</f>
        <v>26.155999999999999</v>
      </c>
      <c r="J133" s="17"/>
      <c r="K133" s="16"/>
      <c r="L133" s="18"/>
      <c r="M133" s="112"/>
    </row>
    <row r="134" spans="1:13" s="114" customFormat="1" ht="15.75" thickTop="1">
      <c r="A134" s="116"/>
      <c r="B134" s="116"/>
      <c r="C134" s="116"/>
      <c r="D134" s="116"/>
      <c r="E134" s="116"/>
      <c r="F134" s="116"/>
      <c r="G134" s="116"/>
      <c r="H134" s="116"/>
      <c r="I134" s="116"/>
      <c r="J134" s="17"/>
      <c r="K134" s="16"/>
      <c r="L134" s="18"/>
      <c r="M134" s="113"/>
    </row>
    <row r="135" spans="1:13" s="114" customFormat="1" ht="27" customHeight="1">
      <c r="A135" s="168" t="s">
        <v>93</v>
      </c>
      <c r="B135" s="168"/>
      <c r="C135" s="168"/>
      <c r="D135" s="168"/>
      <c r="E135" s="168"/>
      <c r="F135" s="168"/>
      <c r="G135" s="168"/>
      <c r="H135" s="168"/>
      <c r="I135" s="168"/>
      <c r="J135" s="17"/>
      <c r="K135" s="16"/>
      <c r="L135" s="18" t="s">
        <v>94</v>
      </c>
      <c r="M135" s="113" t="s">
        <v>809</v>
      </c>
    </row>
    <row r="136" spans="1:13" s="114" customFormat="1">
      <c r="A136" s="116"/>
      <c r="B136" s="116"/>
      <c r="C136" s="116"/>
      <c r="D136" s="116"/>
      <c r="E136" s="116"/>
      <c r="F136" s="116"/>
      <c r="G136" s="116"/>
      <c r="H136" s="116"/>
      <c r="I136" s="116"/>
      <c r="J136" s="17"/>
      <c r="K136" s="16"/>
      <c r="L136" s="18"/>
      <c r="M136" s="113"/>
    </row>
    <row r="137" spans="1:13" s="114" customFormat="1" ht="26.25" customHeight="1">
      <c r="A137" s="168" t="s">
        <v>95</v>
      </c>
      <c r="B137" s="168"/>
      <c r="C137" s="168"/>
      <c r="D137" s="168"/>
      <c r="E137" s="168"/>
      <c r="F137" s="168"/>
      <c r="G137" s="168"/>
      <c r="H137" s="168"/>
      <c r="I137" s="168"/>
      <c r="J137" s="17"/>
      <c r="K137" s="16"/>
      <c r="L137" s="18" t="s">
        <v>96</v>
      </c>
      <c r="M137" s="112" t="s">
        <v>827</v>
      </c>
    </row>
    <row r="138" spans="1:13" s="114" customFormat="1">
      <c r="A138" s="116"/>
      <c r="B138" s="116"/>
      <c r="C138" s="116"/>
      <c r="D138" s="116"/>
      <c r="E138" s="116"/>
      <c r="F138" s="116"/>
      <c r="G138" s="116"/>
      <c r="H138" s="116"/>
      <c r="I138" s="116"/>
      <c r="J138" s="17"/>
      <c r="K138" s="16"/>
      <c r="L138" s="18"/>
      <c r="M138" s="112"/>
    </row>
    <row r="139" spans="1:13" s="114" customFormat="1">
      <c r="A139" s="169" t="s">
        <v>129</v>
      </c>
      <c r="B139" s="169"/>
      <c r="C139" s="116"/>
      <c r="D139" s="116"/>
      <c r="E139" s="116"/>
      <c r="F139" s="116"/>
      <c r="G139" s="116"/>
      <c r="H139" s="116"/>
      <c r="I139" s="116"/>
      <c r="J139" s="17"/>
      <c r="K139" s="16"/>
      <c r="L139" s="18"/>
      <c r="M139" s="112"/>
    </row>
    <row r="140" spans="1:13" s="114" customFormat="1">
      <c r="A140" s="116"/>
      <c r="B140" s="116"/>
      <c r="C140" s="116"/>
      <c r="D140" s="116"/>
      <c r="E140" s="116"/>
      <c r="F140" s="116"/>
      <c r="G140" s="116"/>
      <c r="H140" s="116"/>
      <c r="I140" s="116"/>
      <c r="J140" s="17"/>
      <c r="K140" s="16"/>
      <c r="L140" s="18"/>
      <c r="M140" s="112"/>
    </row>
    <row r="141" spans="1:13" s="114" customFormat="1">
      <c r="A141" s="136" t="s">
        <v>97</v>
      </c>
      <c r="B141" s="116"/>
      <c r="C141" s="116"/>
      <c r="D141" s="116"/>
      <c r="E141" s="116"/>
      <c r="F141" s="116"/>
      <c r="G141" s="116"/>
      <c r="H141" s="116"/>
      <c r="I141" s="116"/>
      <c r="J141" s="17"/>
      <c r="K141" s="16"/>
      <c r="L141" s="18"/>
      <c r="M141" s="112"/>
    </row>
    <row r="142" spans="1:13" s="114" customFormat="1">
      <c r="A142" s="136"/>
      <c r="B142" s="116">
        <v>2019</v>
      </c>
      <c r="C142" s="116"/>
      <c r="D142" s="116"/>
      <c r="E142" s="116"/>
      <c r="F142" s="135">
        <f>VLOOKUP($A$2,'TNP Results'!$A$4:$AG$48,27,FALSE)/1000</f>
        <v>-3.3969999999999998</v>
      </c>
      <c r="G142" s="116"/>
      <c r="H142" s="116"/>
      <c r="I142" s="116"/>
      <c r="J142" s="17"/>
      <c r="K142" s="16"/>
      <c r="L142" s="18"/>
      <c r="M142" s="112" t="s">
        <v>820</v>
      </c>
    </row>
    <row r="143" spans="1:13" s="114" customFormat="1">
      <c r="A143" s="136"/>
      <c r="B143" s="116">
        <v>2020</v>
      </c>
      <c r="C143" s="116"/>
      <c r="D143" s="116"/>
      <c r="E143" s="116"/>
      <c r="F143" s="132">
        <f>VLOOKUP($A$2,'TNP Results'!$A$4:$AG$48,28,FALSE)/1000</f>
        <v>-3.3969999999999998</v>
      </c>
      <c r="G143" s="116"/>
      <c r="H143" s="116"/>
      <c r="I143" s="116"/>
      <c r="J143" s="17"/>
      <c r="K143" s="16"/>
      <c r="L143" s="18"/>
      <c r="M143" s="112" t="s">
        <v>820</v>
      </c>
    </row>
    <row r="144" spans="1:13" s="114" customFormat="1">
      <c r="A144" s="136"/>
      <c r="B144" s="116">
        <v>2021</v>
      </c>
      <c r="C144" s="116"/>
      <c r="D144" s="116"/>
      <c r="E144" s="116"/>
      <c r="F144" s="132">
        <f>VLOOKUP($A$2,'TNP Results'!$A$4:$AG$48,29,FALSE)/1000</f>
        <v>-3.3969999999999998</v>
      </c>
      <c r="G144" s="116"/>
      <c r="H144" s="116"/>
      <c r="I144" s="116"/>
      <c r="J144" s="17"/>
      <c r="K144" s="16"/>
      <c r="L144" s="18"/>
      <c r="M144" s="112" t="s">
        <v>820</v>
      </c>
    </row>
    <row r="145" spans="1:13" s="114" customFormat="1">
      <c r="A145" s="136"/>
      <c r="B145" s="116">
        <v>2022</v>
      </c>
      <c r="C145" s="116"/>
      <c r="D145" s="116"/>
      <c r="E145" s="116"/>
      <c r="F145" s="132">
        <f>VLOOKUP($A$2,'TNP Results'!$A$4:$AG$48,30,FALSE)/1000</f>
        <v>-3.3969999999999998</v>
      </c>
      <c r="G145" s="116"/>
      <c r="H145" s="116"/>
      <c r="I145" s="116"/>
      <c r="J145" s="17"/>
      <c r="K145" s="16"/>
      <c r="L145" s="18"/>
      <c r="M145" s="112" t="s">
        <v>820</v>
      </c>
    </row>
    <row r="146" spans="1:13" s="114" customFormat="1">
      <c r="A146" s="136"/>
      <c r="B146" s="116">
        <v>2023</v>
      </c>
      <c r="C146" s="116"/>
      <c r="D146" s="116"/>
      <c r="E146" s="116"/>
      <c r="F146" s="132">
        <f>VLOOKUP($A$2,'TNP Results'!$A$4:$AG$48,31,FALSE)/1000</f>
        <v>-3.3969999999999998</v>
      </c>
      <c r="G146" s="116"/>
      <c r="H146" s="116"/>
      <c r="I146" s="116"/>
      <c r="J146" s="17"/>
      <c r="K146" s="16"/>
      <c r="L146" s="18"/>
      <c r="M146" s="112" t="s">
        <v>820</v>
      </c>
    </row>
    <row r="147" spans="1:13" s="114" customFormat="1">
      <c r="A147" s="136"/>
      <c r="B147" s="116" t="s">
        <v>98</v>
      </c>
      <c r="C147" s="116"/>
      <c r="D147" s="116"/>
      <c r="E147" s="116"/>
      <c r="F147" s="132">
        <f>VLOOKUP($A$2,'TNP Results'!$A$4:$AG$48,32,FALSE)/1000</f>
        <v>-9.1709999999999994</v>
      </c>
      <c r="G147" s="116"/>
      <c r="H147" s="116"/>
      <c r="I147" s="116"/>
      <c r="J147" s="17"/>
      <c r="K147" s="16"/>
      <c r="L147" s="18"/>
      <c r="M147" s="112" t="s">
        <v>820</v>
      </c>
    </row>
    <row r="148" spans="1:13" s="114" customFormat="1">
      <c r="A148" s="136"/>
      <c r="B148" s="116"/>
      <c r="C148" s="116"/>
      <c r="D148" s="116"/>
      <c r="E148" s="116"/>
      <c r="F148" s="116"/>
      <c r="G148" s="116"/>
      <c r="H148" s="116"/>
      <c r="I148" s="116"/>
      <c r="J148" s="17"/>
      <c r="K148" s="16"/>
      <c r="L148" s="18"/>
    </row>
    <row r="149" spans="1:13" s="114" customFormat="1" ht="20.25" customHeight="1">
      <c r="A149" s="168" t="s">
        <v>99</v>
      </c>
      <c r="B149" s="168"/>
      <c r="C149" s="168"/>
      <c r="D149" s="168"/>
      <c r="E149" s="168"/>
      <c r="F149" s="168"/>
      <c r="G149" s="168"/>
      <c r="H149" s="168"/>
      <c r="I149" s="168"/>
      <c r="J149" s="17"/>
      <c r="K149" s="16"/>
      <c r="L149" s="18"/>
    </row>
    <row r="150" spans="1:13" s="114" customFormat="1">
      <c r="A150" s="116"/>
      <c r="B150" s="116"/>
      <c r="C150" s="116"/>
      <c r="D150" s="116"/>
      <c r="E150" s="116"/>
      <c r="F150" s="116"/>
      <c r="G150" s="116"/>
      <c r="H150" s="116"/>
      <c r="I150" s="116"/>
      <c r="J150" s="17"/>
      <c r="K150" s="16"/>
      <c r="L150" s="18"/>
    </row>
    <row r="151" spans="1:13" s="114" customFormat="1">
      <c r="A151" s="116"/>
      <c r="B151" s="116"/>
      <c r="C151" s="116"/>
      <c r="D151" s="116"/>
      <c r="E151" s="116"/>
      <c r="F151" s="116"/>
      <c r="G151" s="116"/>
      <c r="H151" s="116"/>
      <c r="I151" s="116"/>
      <c r="J151" s="17"/>
      <c r="K151" s="16"/>
      <c r="L151" s="18"/>
    </row>
    <row r="152" spans="1:13" s="114" customFormat="1">
      <c r="A152" s="16"/>
      <c r="B152" s="16"/>
      <c r="C152" s="16"/>
      <c r="D152" s="16"/>
      <c r="E152" s="16"/>
      <c r="F152" s="16"/>
      <c r="G152" s="16"/>
      <c r="H152" s="16"/>
      <c r="I152" s="16"/>
      <c r="J152" s="17"/>
      <c r="K152" s="16"/>
      <c r="L152" s="18"/>
    </row>
    <row r="153" spans="1:13" s="114" customFormat="1">
      <c r="A153" s="172" t="s">
        <v>100</v>
      </c>
      <c r="B153" s="172"/>
      <c r="C153" s="172"/>
      <c r="D153" s="172"/>
      <c r="E153" s="172"/>
      <c r="F153" s="172"/>
      <c r="G153" s="172"/>
      <c r="H153" s="172"/>
      <c r="I153" s="173"/>
      <c r="J153" s="17"/>
      <c r="K153" s="16"/>
      <c r="L153" s="18" t="s">
        <v>101</v>
      </c>
    </row>
    <row r="154" spans="1:13" s="114" customFormat="1">
      <c r="A154" s="170" t="s">
        <v>102</v>
      </c>
      <c r="B154" s="170"/>
      <c r="C154" s="170"/>
      <c r="D154" s="170"/>
      <c r="E154" s="170"/>
      <c r="F154" s="170"/>
      <c r="G154" s="170"/>
      <c r="H154" s="170"/>
      <c r="I154" s="171"/>
      <c r="J154" s="17"/>
      <c r="K154" s="16"/>
      <c r="L154" s="18"/>
    </row>
    <row r="155" spans="1:13" s="114" customFormat="1">
      <c r="A155" s="170" t="s">
        <v>103</v>
      </c>
      <c r="B155" s="172"/>
      <c r="C155" s="172"/>
      <c r="D155" s="172"/>
      <c r="E155" s="172"/>
      <c r="F155" s="172"/>
      <c r="G155" s="172"/>
      <c r="H155" s="172"/>
      <c r="I155" s="173"/>
      <c r="J155" s="17"/>
      <c r="K155" s="16"/>
      <c r="L155" s="18"/>
    </row>
    <row r="156" spans="1:13" s="114" customFormat="1">
      <c r="A156" s="137" t="s">
        <v>129</v>
      </c>
      <c r="B156" s="16"/>
      <c r="C156" s="16"/>
      <c r="D156" s="16"/>
      <c r="E156" s="16"/>
      <c r="F156" s="16"/>
      <c r="G156" s="16"/>
      <c r="H156" s="16"/>
      <c r="I156" s="16"/>
      <c r="J156" s="17"/>
      <c r="K156" s="16"/>
      <c r="L156" s="18"/>
    </row>
    <row r="157" spans="1:13" s="114" customFormat="1">
      <c r="A157" s="16"/>
      <c r="B157" s="16"/>
      <c r="C157" s="16"/>
      <c r="D157" s="16"/>
      <c r="E157" s="138">
        <v>2018</v>
      </c>
      <c r="F157" s="139"/>
      <c r="G157" s="139"/>
      <c r="H157" s="139"/>
      <c r="I157" s="139"/>
      <c r="J157" s="17"/>
      <c r="K157" s="16"/>
      <c r="L157" s="18"/>
    </row>
    <row r="158" spans="1:13" s="114" customFormat="1">
      <c r="A158" s="137" t="s">
        <v>104</v>
      </c>
      <c r="B158" s="16"/>
      <c r="C158" s="139"/>
      <c r="D158" s="139"/>
      <c r="E158" s="139"/>
      <c r="F158" s="139"/>
      <c r="G158" s="139"/>
      <c r="H158" s="139"/>
      <c r="I158" s="139"/>
      <c r="J158" s="139"/>
      <c r="K158" s="139"/>
      <c r="L158" s="140"/>
    </row>
    <row r="159" spans="1:13" s="114" customFormat="1" ht="30">
      <c r="A159" s="16" t="s">
        <v>105</v>
      </c>
      <c r="B159" s="16"/>
      <c r="C159" s="141"/>
      <c r="D159" s="141"/>
      <c r="E159" s="204">
        <f>VLOOKUP($A$2,'TNP Results'!$A$4:$AG$48,14,FALSE)/1000</f>
        <v>11.797000000000001</v>
      </c>
      <c r="F159" s="123"/>
      <c r="G159" s="123"/>
      <c r="H159" s="123"/>
      <c r="I159" s="123"/>
      <c r="J159" s="123"/>
      <c r="K159" s="141"/>
      <c r="L159" s="18" t="s">
        <v>106</v>
      </c>
      <c r="M159" s="112" t="s">
        <v>819</v>
      </c>
    </row>
    <row r="160" spans="1:13" s="114" customFormat="1">
      <c r="A160" s="16" t="s">
        <v>107</v>
      </c>
      <c r="B160" s="16"/>
      <c r="C160" s="16"/>
      <c r="D160" s="16"/>
      <c r="E160" s="125">
        <f>VLOOKUP($A$2,'TNP Results'!$A$4:$AG$48,15,FALSE)/1000</f>
        <v>9.093</v>
      </c>
      <c r="F160" s="17"/>
      <c r="G160" s="17"/>
      <c r="H160" s="17"/>
      <c r="I160" s="17"/>
      <c r="J160" s="17"/>
      <c r="K160" s="16"/>
      <c r="L160" s="18" t="s">
        <v>106</v>
      </c>
      <c r="M160" s="112" t="s">
        <v>820</v>
      </c>
    </row>
    <row r="161" spans="1:13" s="114" customFormat="1">
      <c r="A161" s="16" t="s">
        <v>108</v>
      </c>
      <c r="B161" s="16"/>
      <c r="C161" s="16"/>
      <c r="D161" s="16"/>
      <c r="E161" s="125">
        <f>VLOOKUP($A$2,'TNP Results'!$A$4:$AG$48,16,FALSE)/1000</f>
        <v>0</v>
      </c>
      <c r="F161" s="17"/>
      <c r="G161" s="17"/>
      <c r="H161" s="17"/>
      <c r="I161" s="17"/>
      <c r="J161" s="17"/>
      <c r="K161" s="16"/>
      <c r="L161" s="18" t="s">
        <v>106</v>
      </c>
      <c r="M161" s="112" t="s">
        <v>820</v>
      </c>
    </row>
    <row r="162" spans="1:13" s="114" customFormat="1">
      <c r="A162" s="16" t="s">
        <v>109</v>
      </c>
      <c r="B162" s="16"/>
      <c r="C162" s="16"/>
      <c r="D162" s="16"/>
      <c r="E162" s="125">
        <f>VLOOKUP($A$2,'TNP Results'!$A$4:$AG$48,17,FALSE)/1000</f>
        <v>0</v>
      </c>
      <c r="F162" s="17"/>
      <c r="G162" s="17"/>
      <c r="H162" s="17"/>
      <c r="I162" s="17"/>
      <c r="J162" s="17"/>
      <c r="K162" s="16"/>
      <c r="L162" s="18" t="s">
        <v>106</v>
      </c>
      <c r="M162" s="112" t="s">
        <v>820</v>
      </c>
    </row>
    <row r="163" spans="1:13" s="114" customFormat="1">
      <c r="A163" s="16" t="s">
        <v>110</v>
      </c>
      <c r="B163" s="16"/>
      <c r="C163" s="16"/>
      <c r="D163" s="16"/>
      <c r="E163" s="125">
        <f>VLOOKUP($A$2,'TNP Results'!$A$4:$AG$48,18,FALSE)/1000</f>
        <v>-29.553000000000001</v>
      </c>
      <c r="F163" s="17"/>
      <c r="G163" s="17"/>
      <c r="H163" s="17"/>
      <c r="I163" s="17"/>
      <c r="J163" s="17"/>
      <c r="K163" s="16"/>
      <c r="L163" s="18" t="s">
        <v>106</v>
      </c>
      <c r="M163" s="112" t="s">
        <v>820</v>
      </c>
    </row>
    <row r="164" spans="1:13" s="114" customFormat="1">
      <c r="A164" s="16" t="s">
        <v>111</v>
      </c>
      <c r="B164" s="16"/>
      <c r="C164" s="16"/>
      <c r="D164" s="16"/>
      <c r="E164" s="205">
        <f>VLOOKUP($A$2,'TNP Results'!$A$4:$AG$48,19,FALSE)/1000</f>
        <v>-4.6500000000000004</v>
      </c>
      <c r="F164" s="17"/>
      <c r="G164" s="17"/>
      <c r="H164" s="17"/>
      <c r="I164" s="17"/>
      <c r="J164" s="17"/>
      <c r="K164" s="16"/>
      <c r="L164" s="18" t="s">
        <v>106</v>
      </c>
      <c r="M164" s="112" t="s">
        <v>820</v>
      </c>
    </row>
    <row r="165" spans="1:13" s="114" customFormat="1">
      <c r="A165" s="137" t="s">
        <v>112</v>
      </c>
      <c r="B165" s="16"/>
      <c r="C165" s="16"/>
      <c r="D165" s="16"/>
      <c r="E165" s="141">
        <f>SUM(E159:E164)</f>
        <v>-13.313000000000001</v>
      </c>
      <c r="F165" s="123"/>
      <c r="G165" s="123"/>
      <c r="H165" s="123"/>
      <c r="I165" s="123"/>
      <c r="J165" s="17"/>
      <c r="K165" s="16"/>
      <c r="L165" s="18" t="s">
        <v>106</v>
      </c>
      <c r="M165" s="112" t="s">
        <v>820</v>
      </c>
    </row>
    <row r="166" spans="1:13" s="114" customFormat="1">
      <c r="A166" s="137" t="s">
        <v>113</v>
      </c>
      <c r="B166" s="16"/>
      <c r="C166" s="16"/>
      <c r="D166" s="16"/>
      <c r="E166" s="205">
        <f>VLOOKUP($A$2,'TNP Results'!$A$4:$AG$48,6,FALSE)/1000</f>
        <v>301.93200000000002</v>
      </c>
      <c r="F166" s="17"/>
      <c r="G166" s="17"/>
      <c r="H166" s="17"/>
      <c r="I166" s="17"/>
      <c r="J166" s="17"/>
      <c r="K166" s="16"/>
      <c r="L166" s="18" t="s">
        <v>106</v>
      </c>
      <c r="M166" s="112" t="s">
        <v>820</v>
      </c>
    </row>
    <row r="167" spans="1:13" s="114" customFormat="1" ht="15.75" thickBot="1">
      <c r="A167" s="137" t="s">
        <v>114</v>
      </c>
      <c r="B167" s="16"/>
      <c r="C167" s="16"/>
      <c r="D167" s="16"/>
      <c r="E167" s="128">
        <f>E165+E166</f>
        <v>288.61900000000003</v>
      </c>
      <c r="F167" s="123"/>
      <c r="G167" s="123"/>
      <c r="H167" s="123"/>
      <c r="I167" s="123"/>
      <c r="J167" s="17"/>
      <c r="K167" s="16"/>
      <c r="L167" s="18" t="s">
        <v>115</v>
      </c>
      <c r="M167" s="112" t="s">
        <v>820</v>
      </c>
    </row>
    <row r="168" spans="1:13" s="114" customFormat="1" ht="15.75" thickTop="1">
      <c r="A168" s="16"/>
      <c r="B168" s="16"/>
      <c r="C168" s="16"/>
      <c r="D168" s="16"/>
      <c r="E168" s="16"/>
      <c r="F168" s="17"/>
      <c r="G168" s="17"/>
      <c r="H168" s="17"/>
      <c r="I168" s="17"/>
      <c r="J168" s="17"/>
      <c r="K168" s="16"/>
      <c r="L168" s="18"/>
    </row>
    <row r="169" spans="1:13" s="114" customFormat="1">
      <c r="A169" s="16"/>
      <c r="B169" s="16"/>
      <c r="C169" s="16"/>
      <c r="D169" s="16"/>
      <c r="E169" s="16"/>
      <c r="F169" s="17"/>
      <c r="G169" s="17"/>
      <c r="H169" s="17"/>
      <c r="I169" s="17"/>
      <c r="J169" s="17"/>
      <c r="K169" s="16"/>
      <c r="L169" s="18"/>
    </row>
    <row r="170" spans="1:13" s="114" customFormat="1" ht="132" customHeight="1">
      <c r="A170" s="137" t="s">
        <v>116</v>
      </c>
      <c r="B170" s="16"/>
      <c r="C170" s="16"/>
      <c r="D170" s="16"/>
      <c r="E170" s="108" t="s">
        <v>808</v>
      </c>
      <c r="F170" s="123"/>
      <c r="G170" s="123"/>
      <c r="H170" s="123"/>
      <c r="I170" s="123"/>
      <c r="J170" s="17"/>
      <c r="K170" s="16"/>
      <c r="L170" s="76" t="s">
        <v>117</v>
      </c>
      <c r="M170" s="113" t="s">
        <v>900</v>
      </c>
    </row>
    <row r="171" spans="1:13" s="114" customFormat="1">
      <c r="A171" s="16"/>
      <c r="B171" s="16"/>
      <c r="C171" s="16"/>
      <c r="D171" s="16"/>
      <c r="E171" s="16"/>
      <c r="F171" s="17"/>
      <c r="G171" s="17"/>
      <c r="H171" s="17"/>
      <c r="I171" s="17"/>
      <c r="J171" s="17"/>
      <c r="K171" s="16"/>
      <c r="L171" s="18"/>
    </row>
    <row r="172" spans="1:13" s="114" customFormat="1" ht="27.75" customHeight="1">
      <c r="A172" s="174" t="s">
        <v>118</v>
      </c>
      <c r="B172" s="168"/>
      <c r="C172" s="168"/>
      <c r="D172" s="168"/>
      <c r="E172" s="142" t="e">
        <f>E167/E170</f>
        <v>#VALUE!</v>
      </c>
      <c r="F172" s="143"/>
      <c r="G172" s="143"/>
      <c r="H172" s="143"/>
      <c r="I172" s="143"/>
      <c r="J172" s="17"/>
      <c r="K172" s="16"/>
      <c r="L172" s="18" t="s">
        <v>119</v>
      </c>
      <c r="M172" s="113" t="s">
        <v>828</v>
      </c>
    </row>
    <row r="173" spans="1:13" s="114" customFormat="1">
      <c r="A173" s="16"/>
      <c r="B173" s="16"/>
      <c r="C173" s="16"/>
      <c r="D173" s="16"/>
      <c r="E173" s="16"/>
      <c r="F173" s="16"/>
      <c r="G173" s="16"/>
      <c r="H173" s="16"/>
      <c r="I173" s="16"/>
      <c r="J173" s="17"/>
      <c r="K173" s="16"/>
      <c r="L173" s="18"/>
      <c r="M173" s="113"/>
    </row>
    <row r="174" spans="1:13" s="114" customFormat="1" ht="17.25" customHeight="1">
      <c r="A174" s="137" t="s">
        <v>120</v>
      </c>
      <c r="B174" s="16"/>
      <c r="C174" s="16"/>
      <c r="D174" s="16"/>
      <c r="E174" s="16"/>
      <c r="F174" s="16"/>
      <c r="G174" s="16"/>
      <c r="H174" s="16"/>
      <c r="I174" s="16"/>
      <c r="J174" s="17"/>
      <c r="K174" s="16"/>
      <c r="L174" s="16"/>
      <c r="M174" s="113"/>
    </row>
    <row r="175" spans="1:13" s="114" customFormat="1">
      <c r="A175" s="137"/>
      <c r="B175" s="16"/>
      <c r="C175" s="16"/>
      <c r="D175" s="16"/>
      <c r="E175" s="16"/>
      <c r="F175" s="16"/>
      <c r="G175" s="16"/>
      <c r="H175" s="16"/>
      <c r="I175" s="16"/>
      <c r="J175" s="17"/>
      <c r="K175" s="16"/>
      <c r="L175" s="16"/>
      <c r="M175" s="113"/>
    </row>
    <row r="176" spans="1:13" s="114" customFormat="1" ht="27.75" customHeight="1">
      <c r="A176" s="168" t="s">
        <v>121</v>
      </c>
      <c r="B176" s="168"/>
      <c r="C176" s="168"/>
      <c r="D176" s="168"/>
      <c r="E176" s="168"/>
      <c r="F176" s="168"/>
      <c r="G176" s="168"/>
      <c r="H176" s="168"/>
      <c r="I176" s="168"/>
      <c r="J176" s="17"/>
      <c r="K176" s="16"/>
      <c r="L176" s="18">
        <v>171</v>
      </c>
      <c r="M176" s="112" t="s">
        <v>809</v>
      </c>
    </row>
    <row r="177" spans="1:14" s="114" customFormat="1">
      <c r="A177" s="16"/>
      <c r="B177" s="16"/>
      <c r="C177" s="16"/>
      <c r="D177" s="16"/>
      <c r="E177" s="16"/>
      <c r="F177" s="16"/>
      <c r="G177" s="16"/>
      <c r="H177" s="16"/>
      <c r="I177" s="16"/>
      <c r="J177" s="17"/>
      <c r="K177" s="16"/>
      <c r="L177" s="18"/>
      <c r="M177" s="112"/>
    </row>
    <row r="178" spans="1:14" s="114" customFormat="1">
      <c r="A178" s="168" t="s">
        <v>122</v>
      </c>
      <c r="B178" s="168"/>
      <c r="C178" s="168"/>
      <c r="D178" s="168"/>
      <c r="E178" s="168"/>
      <c r="F178" s="168"/>
      <c r="G178" s="168"/>
      <c r="H178" s="168"/>
      <c r="I178" s="168"/>
      <c r="J178" s="17"/>
      <c r="K178" s="16"/>
      <c r="L178" s="18"/>
      <c r="M178" s="112" t="s">
        <v>820</v>
      </c>
      <c r="N178" s="144"/>
    </row>
    <row r="179" spans="1:14" s="114" customFormat="1">
      <c r="A179" s="16"/>
      <c r="B179" s="16"/>
      <c r="C179" s="16"/>
      <c r="D179" s="16"/>
      <c r="E179" s="16"/>
      <c r="F179" s="16"/>
      <c r="G179" s="16"/>
      <c r="H179" s="16"/>
      <c r="I179" s="16"/>
      <c r="J179" s="17"/>
      <c r="K179" s="16"/>
      <c r="L179" s="18"/>
      <c r="M179" s="112"/>
      <c r="N179" s="144"/>
    </row>
    <row r="180" spans="1:14" s="114" customFormat="1" ht="19.5" customHeight="1">
      <c r="A180" s="168" t="s">
        <v>123</v>
      </c>
      <c r="B180" s="168"/>
      <c r="C180" s="168"/>
      <c r="D180" s="168"/>
      <c r="E180" s="168"/>
      <c r="F180" s="168"/>
      <c r="G180" s="168"/>
      <c r="H180" s="168"/>
      <c r="I180" s="168"/>
      <c r="J180" s="17"/>
      <c r="K180" s="16"/>
      <c r="L180" s="18"/>
      <c r="M180" s="112" t="s">
        <v>829</v>
      </c>
      <c r="N180" s="144"/>
    </row>
    <row r="181" spans="1:14" s="114" customFormat="1">
      <c r="A181" s="16"/>
      <c r="B181" s="16"/>
      <c r="C181" s="16"/>
      <c r="D181" s="16"/>
      <c r="E181" s="16"/>
      <c r="F181" s="16"/>
      <c r="G181" s="16"/>
      <c r="H181" s="16"/>
      <c r="I181" s="16"/>
      <c r="J181" s="17"/>
      <c r="K181" s="16"/>
      <c r="L181" s="18"/>
      <c r="N181" s="144"/>
    </row>
    <row r="182" spans="1:14" s="114" customFormat="1" ht="58.5" hidden="1" customHeight="1">
      <c r="A182" s="168" t="s">
        <v>124</v>
      </c>
      <c r="B182" s="168"/>
      <c r="C182" s="168"/>
      <c r="D182" s="168"/>
      <c r="E182" s="168"/>
      <c r="F182" s="168"/>
      <c r="G182" s="168"/>
      <c r="H182" s="168"/>
      <c r="I182" s="169"/>
      <c r="J182" s="17"/>
      <c r="K182" s="16"/>
      <c r="L182" s="18">
        <v>171</v>
      </c>
    </row>
    <row r="183" spans="1:14" s="114" customFormat="1" hidden="1">
      <c r="A183" s="115"/>
      <c r="B183" s="16"/>
      <c r="C183" s="16"/>
      <c r="D183" s="16"/>
      <c r="E183" s="16"/>
      <c r="F183" s="16"/>
      <c r="G183" s="16"/>
      <c r="H183" s="16"/>
      <c r="I183" s="16"/>
      <c r="J183" s="16"/>
      <c r="K183" s="16"/>
      <c r="L183" s="18"/>
    </row>
    <row r="184" spans="1:14" s="114" customFormat="1">
      <c r="A184" s="115"/>
      <c r="B184" s="16"/>
      <c r="C184" s="16"/>
      <c r="D184" s="16"/>
      <c r="E184" s="16"/>
      <c r="F184" s="16"/>
      <c r="G184" s="16"/>
      <c r="H184" s="16"/>
      <c r="I184" s="16"/>
      <c r="J184" s="16"/>
      <c r="K184" s="16"/>
      <c r="L184" s="18"/>
    </row>
    <row r="185" spans="1:14" s="114" customFormat="1">
      <c r="A185" s="115"/>
      <c r="B185" s="16"/>
      <c r="C185" s="16"/>
      <c r="D185" s="16"/>
      <c r="E185" s="16"/>
      <c r="F185" s="16"/>
      <c r="G185" s="16"/>
      <c r="H185" s="16"/>
      <c r="I185" s="16"/>
      <c r="J185" s="16"/>
      <c r="K185" s="16"/>
      <c r="L185" s="18"/>
    </row>
    <row r="186" spans="1:14" s="114" customFormat="1">
      <c r="A186" s="115"/>
      <c r="B186" s="16"/>
      <c r="C186" s="16"/>
      <c r="D186" s="16"/>
      <c r="E186" s="16"/>
      <c r="F186" s="16"/>
      <c r="G186" s="16"/>
      <c r="H186" s="16"/>
      <c r="I186" s="16"/>
      <c r="J186" s="16"/>
      <c r="K186" s="16"/>
      <c r="L186" s="18"/>
    </row>
    <row r="187" spans="1:14" s="114" customFormat="1">
      <c r="A187" s="115"/>
      <c r="B187" s="16"/>
      <c r="C187" s="16"/>
      <c r="D187" s="16"/>
      <c r="E187" s="16"/>
      <c r="F187" s="16"/>
      <c r="G187" s="16"/>
      <c r="H187" s="16"/>
      <c r="I187" s="16"/>
      <c r="J187" s="16"/>
      <c r="K187" s="16"/>
      <c r="L187" s="18"/>
    </row>
    <row r="188" spans="1:14" s="114" customFormat="1">
      <c r="A188" s="115"/>
      <c r="B188" s="16"/>
      <c r="C188" s="16"/>
      <c r="D188" s="16"/>
      <c r="E188" s="16"/>
      <c r="F188" s="16"/>
      <c r="G188" s="16"/>
      <c r="H188" s="16"/>
      <c r="I188" s="16"/>
      <c r="J188" s="16"/>
      <c r="K188" s="16"/>
      <c r="L188" s="18"/>
    </row>
    <row r="189" spans="1:14" s="114" customFormat="1">
      <c r="A189" s="115"/>
      <c r="B189" s="16"/>
      <c r="C189" s="16"/>
      <c r="D189" s="16"/>
      <c r="E189" s="16"/>
      <c r="F189" s="16"/>
      <c r="G189" s="16"/>
      <c r="H189" s="16"/>
      <c r="I189" s="16"/>
      <c r="J189" s="16"/>
      <c r="K189" s="16"/>
      <c r="L189" s="18"/>
    </row>
    <row r="190" spans="1:14" s="114" customFormat="1">
      <c r="A190" s="115"/>
      <c r="B190" s="16"/>
      <c r="C190" s="16"/>
      <c r="D190" s="16"/>
      <c r="E190" s="16"/>
      <c r="F190" s="16"/>
      <c r="G190" s="16"/>
      <c r="H190" s="16"/>
      <c r="I190" s="16"/>
      <c r="J190" s="16"/>
      <c r="K190" s="16"/>
      <c r="L190" s="18"/>
    </row>
    <row r="191" spans="1:14" s="114" customFormat="1">
      <c r="A191" s="115"/>
      <c r="B191" s="16"/>
      <c r="C191" s="16"/>
      <c r="D191" s="16"/>
      <c r="E191" s="16"/>
      <c r="F191" s="16"/>
      <c r="G191" s="16"/>
      <c r="H191" s="16"/>
      <c r="I191" s="16"/>
      <c r="J191" s="16"/>
      <c r="K191" s="16"/>
      <c r="L191" s="18"/>
    </row>
    <row r="192" spans="1:14" s="114" customFormat="1">
      <c r="A192" s="115"/>
      <c r="B192" s="16"/>
      <c r="C192" s="16"/>
      <c r="D192" s="16"/>
      <c r="E192" s="16"/>
      <c r="F192" s="16"/>
      <c r="G192" s="16"/>
      <c r="H192" s="16"/>
      <c r="I192" s="16"/>
      <c r="J192" s="16"/>
      <c r="K192" s="16"/>
      <c r="L192" s="18"/>
    </row>
    <row r="193" spans="1:12" s="114" customFormat="1">
      <c r="A193" s="115"/>
      <c r="B193" s="16"/>
      <c r="C193" s="16"/>
      <c r="D193" s="16"/>
      <c r="E193" s="16"/>
      <c r="F193" s="16"/>
      <c r="G193" s="16"/>
      <c r="H193" s="16"/>
      <c r="I193" s="16"/>
      <c r="J193" s="16"/>
      <c r="K193" s="16"/>
      <c r="L193" s="18"/>
    </row>
    <row r="194" spans="1:12" s="114" customFormat="1">
      <c r="A194" s="115"/>
      <c r="B194" s="16"/>
      <c r="C194" s="16"/>
      <c r="D194" s="16"/>
      <c r="E194" s="16"/>
      <c r="F194" s="16"/>
      <c r="G194" s="16"/>
      <c r="H194" s="16"/>
      <c r="I194" s="16"/>
      <c r="J194" s="16"/>
      <c r="K194" s="16"/>
      <c r="L194" s="18"/>
    </row>
    <row r="195" spans="1:12" s="114" customFormat="1">
      <c r="A195" s="115"/>
      <c r="B195" s="16"/>
      <c r="C195" s="16"/>
      <c r="D195" s="16"/>
      <c r="E195" s="16"/>
      <c r="F195" s="16"/>
      <c r="G195" s="16"/>
      <c r="H195" s="16"/>
      <c r="I195" s="16"/>
      <c r="J195" s="16"/>
      <c r="K195" s="16"/>
      <c r="L195" s="18"/>
    </row>
    <row r="196" spans="1:12" s="114" customFormat="1">
      <c r="A196" s="115"/>
      <c r="B196" s="16"/>
      <c r="C196" s="16"/>
      <c r="D196" s="16"/>
      <c r="E196" s="16"/>
      <c r="F196" s="16"/>
      <c r="G196" s="16"/>
      <c r="H196" s="16"/>
      <c r="I196" s="16"/>
      <c r="J196" s="16"/>
      <c r="K196" s="16"/>
      <c r="L196" s="18"/>
    </row>
    <row r="197" spans="1:12" s="114" customFormat="1">
      <c r="A197" s="115"/>
      <c r="B197" s="16"/>
      <c r="C197" s="16"/>
      <c r="D197" s="16"/>
      <c r="E197" s="16"/>
      <c r="F197" s="16"/>
      <c r="G197" s="16"/>
      <c r="H197" s="16"/>
      <c r="I197" s="16"/>
      <c r="J197" s="16"/>
      <c r="K197" s="16"/>
      <c r="L197" s="18"/>
    </row>
    <row r="198" spans="1:12" s="114" customFormat="1">
      <c r="A198" s="115"/>
      <c r="B198" s="16"/>
      <c r="C198" s="16"/>
      <c r="D198" s="16"/>
      <c r="E198" s="16"/>
      <c r="F198" s="16"/>
      <c r="G198" s="16"/>
      <c r="H198" s="16"/>
      <c r="I198" s="16"/>
      <c r="J198" s="16"/>
      <c r="K198" s="16"/>
      <c r="L198" s="18"/>
    </row>
    <row r="199" spans="1:12" s="114" customFormat="1">
      <c r="A199" s="115"/>
      <c r="B199" s="16"/>
      <c r="C199" s="16"/>
      <c r="D199" s="16"/>
      <c r="E199" s="16"/>
      <c r="F199" s="16"/>
      <c r="G199" s="16"/>
      <c r="H199" s="16"/>
      <c r="I199" s="16"/>
      <c r="J199" s="16"/>
      <c r="K199" s="16"/>
      <c r="L199" s="18"/>
    </row>
    <row r="200" spans="1:12" s="114" customFormat="1">
      <c r="A200" s="115"/>
      <c r="B200" s="16"/>
      <c r="C200" s="16"/>
      <c r="D200" s="16"/>
      <c r="E200" s="16"/>
      <c r="F200" s="16"/>
      <c r="G200" s="16"/>
      <c r="H200" s="16"/>
      <c r="I200" s="16"/>
      <c r="J200" s="16"/>
      <c r="K200" s="16"/>
      <c r="L200" s="18"/>
    </row>
    <row r="201" spans="1:12" s="114" customFormat="1">
      <c r="A201" s="115"/>
      <c r="B201" s="16"/>
      <c r="C201" s="16"/>
      <c r="D201" s="16"/>
      <c r="E201" s="16"/>
      <c r="F201" s="16"/>
      <c r="G201" s="16"/>
      <c r="H201" s="16"/>
      <c r="I201" s="16"/>
      <c r="J201" s="16"/>
      <c r="K201" s="16"/>
      <c r="L201" s="18"/>
    </row>
    <row r="202" spans="1:12" s="114" customFormat="1">
      <c r="A202" s="115"/>
      <c r="B202" s="16"/>
      <c r="C202" s="16"/>
      <c r="D202" s="16"/>
      <c r="E202" s="16"/>
      <c r="F202" s="16"/>
      <c r="G202" s="16"/>
      <c r="H202" s="16"/>
      <c r="I202" s="16"/>
      <c r="J202" s="16"/>
      <c r="K202" s="16"/>
      <c r="L202" s="18"/>
    </row>
    <row r="203" spans="1:12" s="114" customFormat="1">
      <c r="A203" s="115"/>
      <c r="B203" s="16"/>
      <c r="C203" s="16"/>
      <c r="D203" s="16"/>
      <c r="E203" s="16"/>
      <c r="F203" s="16"/>
      <c r="G203" s="16"/>
      <c r="H203" s="16"/>
      <c r="I203" s="16"/>
      <c r="J203" s="16"/>
      <c r="K203" s="16"/>
      <c r="L203" s="18"/>
    </row>
    <row r="204" spans="1:12" s="114" customFormat="1">
      <c r="A204" s="115"/>
      <c r="B204" s="16"/>
      <c r="C204" s="16"/>
      <c r="D204" s="16"/>
      <c r="E204" s="16"/>
      <c r="F204" s="16"/>
      <c r="G204" s="16"/>
      <c r="H204" s="16"/>
      <c r="I204" s="16"/>
      <c r="J204" s="16"/>
      <c r="K204" s="16"/>
      <c r="L204" s="18"/>
    </row>
    <row r="205" spans="1:12" s="114" customFormat="1">
      <c r="A205" s="115"/>
      <c r="B205" s="16"/>
      <c r="C205" s="16"/>
      <c r="D205" s="16"/>
      <c r="E205" s="16"/>
      <c r="F205" s="16"/>
      <c r="G205" s="16"/>
      <c r="H205" s="16"/>
      <c r="I205" s="16"/>
      <c r="J205" s="16"/>
      <c r="K205" s="16"/>
      <c r="L205" s="18"/>
    </row>
    <row r="206" spans="1:12" s="114" customFormat="1">
      <c r="A206" s="115"/>
      <c r="B206" s="16"/>
      <c r="C206" s="16"/>
      <c r="D206" s="16"/>
      <c r="E206" s="16"/>
      <c r="F206" s="16"/>
      <c r="G206" s="16"/>
      <c r="H206" s="16"/>
      <c r="I206" s="16"/>
      <c r="J206" s="16"/>
      <c r="K206" s="16"/>
      <c r="L206" s="18"/>
    </row>
    <row r="207" spans="1:12" s="114" customFormat="1">
      <c r="A207" s="115"/>
      <c r="B207" s="16"/>
      <c r="C207" s="16"/>
      <c r="D207" s="16"/>
      <c r="E207" s="16"/>
      <c r="F207" s="16"/>
      <c r="G207" s="16"/>
      <c r="H207" s="16"/>
      <c r="I207" s="16"/>
      <c r="J207" s="16"/>
      <c r="K207" s="16"/>
      <c r="L207" s="18"/>
    </row>
    <row r="208" spans="1:12" s="114" customFormat="1">
      <c r="A208" s="115"/>
      <c r="B208" s="16"/>
      <c r="C208" s="16"/>
      <c r="D208" s="16"/>
      <c r="E208" s="16"/>
      <c r="F208" s="16"/>
      <c r="G208" s="16"/>
      <c r="H208" s="16"/>
      <c r="I208" s="16"/>
      <c r="J208" s="16"/>
      <c r="K208" s="16"/>
      <c r="L208" s="18"/>
    </row>
    <row r="209" spans="1:12" s="114" customFormat="1">
      <c r="A209" s="115"/>
      <c r="B209" s="16"/>
      <c r="C209" s="16"/>
      <c r="D209" s="16"/>
      <c r="E209" s="16"/>
      <c r="F209" s="16"/>
      <c r="G209" s="16"/>
      <c r="H209" s="16"/>
      <c r="I209" s="16"/>
      <c r="J209" s="16"/>
      <c r="K209" s="16"/>
      <c r="L209" s="18"/>
    </row>
    <row r="210" spans="1:12" s="114" customFormat="1">
      <c r="A210" s="115"/>
      <c r="B210" s="16"/>
      <c r="C210" s="16"/>
      <c r="D210" s="16"/>
      <c r="E210" s="16"/>
      <c r="F210" s="16"/>
      <c r="G210" s="16"/>
      <c r="H210" s="16"/>
      <c r="I210" s="16"/>
      <c r="J210" s="16"/>
      <c r="K210" s="16"/>
      <c r="L210" s="18"/>
    </row>
  </sheetData>
  <mergeCells count="57">
    <mergeCell ref="M110:M111"/>
    <mergeCell ref="B18:I18"/>
    <mergeCell ref="A4:I4"/>
    <mergeCell ref="B6:I6"/>
    <mergeCell ref="B11:I11"/>
    <mergeCell ref="B13:I13"/>
    <mergeCell ref="B16:I16"/>
    <mergeCell ref="A52:I52"/>
    <mergeCell ref="B20:I20"/>
    <mergeCell ref="B22:I22"/>
    <mergeCell ref="B24:I24"/>
    <mergeCell ref="B26:I26"/>
    <mergeCell ref="B29:I29"/>
    <mergeCell ref="B31:I31"/>
    <mergeCell ref="B33:I33"/>
    <mergeCell ref="B35:I35"/>
    <mergeCell ref="A42:I42"/>
    <mergeCell ref="A48:I48"/>
    <mergeCell ref="A50:I50"/>
    <mergeCell ref="A100:I100"/>
    <mergeCell ref="A55:E55"/>
    <mergeCell ref="A57:E57"/>
    <mergeCell ref="A59:E59"/>
    <mergeCell ref="A62:I62"/>
    <mergeCell ref="A70:I70"/>
    <mergeCell ref="E72:H72"/>
    <mergeCell ref="E73:H73"/>
    <mergeCell ref="E74:H74"/>
    <mergeCell ref="A77:I77"/>
    <mergeCell ref="A79:I79"/>
    <mergeCell ref="A83:B83"/>
    <mergeCell ref="A102:I102"/>
    <mergeCell ref="A104:I104"/>
    <mergeCell ref="A106:I106"/>
    <mergeCell ref="A108:I108"/>
    <mergeCell ref="D110:E110"/>
    <mergeCell ref="F110:G110"/>
    <mergeCell ref="H110:I110"/>
    <mergeCell ref="A153:I153"/>
    <mergeCell ref="A113:I113"/>
    <mergeCell ref="D115:E115"/>
    <mergeCell ref="F115:G115"/>
    <mergeCell ref="H115:I115"/>
    <mergeCell ref="A120:I120"/>
    <mergeCell ref="A126:I126"/>
    <mergeCell ref="A128:B128"/>
    <mergeCell ref="A135:I135"/>
    <mergeCell ref="A137:I137"/>
    <mergeCell ref="A139:B139"/>
    <mergeCell ref="A149:I149"/>
    <mergeCell ref="A182:I182"/>
    <mergeCell ref="A154:I154"/>
    <mergeCell ref="A155:I155"/>
    <mergeCell ref="A172:D172"/>
    <mergeCell ref="A176:I176"/>
    <mergeCell ref="A178:I178"/>
    <mergeCell ref="A180:I18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'LGOP Results'!$A$4:$A$581</xm:f>
          </x14:formula1>
          <xm:sqref>A3</xm:sqref>
        </x14:dataValidation>
        <x14:dataValidation type="list" allowBlank="1" showInputMessage="1" showErrorMessage="1">
          <x14:formula1>
            <xm:f>'TNP Results'!$A$4:$A$48</xm:f>
          </x14:formula1>
          <xm:sqref>A2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2"/>
  <sheetViews>
    <sheetView workbookViewId="0">
      <pane xSplit="1" ySplit="4" topLeftCell="S445" activePane="bottomRight" state="frozen"/>
      <selection pane="topRight" activeCell="B1" sqref="B1"/>
      <selection pane="bottomLeft" activeCell="A5" sqref="A5"/>
      <selection pane="bottomRight" activeCell="W453" sqref="W453"/>
    </sheetView>
  </sheetViews>
  <sheetFormatPr defaultRowHeight="15"/>
  <cols>
    <col min="1" max="1" width="22.85546875" customWidth="1"/>
    <col min="4" max="4" width="9.140625" style="57"/>
    <col min="5" max="5" width="9.140625" style="57" customWidth="1"/>
    <col min="6" max="6" width="14.7109375" style="57" customWidth="1"/>
    <col min="7" max="7" width="12.7109375" style="57" customWidth="1"/>
    <col min="8" max="9" width="10.5703125" style="57" bestFit="1" customWidth="1"/>
    <col min="10" max="10" width="11.140625" style="57" bestFit="1" customWidth="1"/>
    <col min="11" max="12" width="13.42578125" style="57" bestFit="1" customWidth="1"/>
    <col min="13" max="13" width="20.5703125" customWidth="1"/>
    <col min="14" max="14" width="13.42578125" bestFit="1" customWidth="1"/>
    <col min="15" max="16" width="12.140625" bestFit="1" customWidth="1"/>
    <col min="19" max="19" width="12.85546875" bestFit="1" customWidth="1"/>
    <col min="20" max="20" width="12.140625" bestFit="1" customWidth="1"/>
    <col min="22" max="22" width="10.28515625" style="78" customWidth="1"/>
    <col min="23" max="23" width="11.140625" bestFit="1" customWidth="1"/>
    <col min="25" max="25" width="12.140625" bestFit="1" customWidth="1"/>
    <col min="28" max="32" width="11.140625" bestFit="1" customWidth="1"/>
    <col min="33" max="33" width="12.85546875" bestFit="1" customWidth="1"/>
    <col min="34" max="34" width="9.140625" style="85"/>
  </cols>
  <sheetData>
    <row r="1" spans="1:35">
      <c r="A1">
        <v>1</v>
      </c>
      <c r="B1">
        <v>2</v>
      </c>
      <c r="C1">
        <v>3</v>
      </c>
      <c r="D1" s="57">
        <v>4</v>
      </c>
      <c r="E1" s="57">
        <v>5</v>
      </c>
      <c r="F1" s="57">
        <v>6</v>
      </c>
      <c r="G1" s="57">
        <v>7</v>
      </c>
      <c r="H1" s="57">
        <v>8</v>
      </c>
      <c r="I1" s="57">
        <v>9</v>
      </c>
      <c r="J1" s="57">
        <v>10</v>
      </c>
      <c r="K1" s="57">
        <v>11</v>
      </c>
      <c r="L1" s="57">
        <v>12</v>
      </c>
      <c r="M1" s="57">
        <v>13</v>
      </c>
      <c r="N1" s="57">
        <v>14</v>
      </c>
      <c r="O1" s="57">
        <v>15</v>
      </c>
      <c r="P1" s="57">
        <v>16</v>
      </c>
      <c r="Q1" s="57">
        <v>17</v>
      </c>
      <c r="R1" s="57">
        <v>18</v>
      </c>
      <c r="S1" s="57">
        <v>19</v>
      </c>
      <c r="T1" s="57">
        <v>20</v>
      </c>
      <c r="U1" s="57">
        <v>21</v>
      </c>
      <c r="V1" s="203">
        <v>22</v>
      </c>
      <c r="W1" s="57">
        <v>23</v>
      </c>
      <c r="X1" s="57">
        <v>24</v>
      </c>
      <c r="Y1" s="57">
        <v>25</v>
      </c>
      <c r="Z1" s="57">
        <v>26</v>
      </c>
      <c r="AA1" s="57">
        <v>27</v>
      </c>
      <c r="AB1" s="57">
        <v>28</v>
      </c>
      <c r="AC1" s="57">
        <v>29</v>
      </c>
      <c r="AD1" s="57">
        <v>30</v>
      </c>
      <c r="AE1" s="57">
        <v>31</v>
      </c>
      <c r="AF1" s="57">
        <v>32</v>
      </c>
      <c r="AG1" s="57">
        <v>33</v>
      </c>
      <c r="AH1" s="57">
        <v>34</v>
      </c>
      <c r="AI1" s="57">
        <v>35</v>
      </c>
    </row>
    <row r="2" spans="1:35" ht="15" customHeight="1">
      <c r="A2" s="197" t="s">
        <v>168</v>
      </c>
      <c r="B2" s="184" t="s">
        <v>763</v>
      </c>
      <c r="C2" s="185"/>
      <c r="D2" s="185"/>
      <c r="E2" s="186"/>
      <c r="F2" s="187" t="s">
        <v>764</v>
      </c>
      <c r="G2" s="187" t="s">
        <v>765</v>
      </c>
      <c r="H2" s="189" t="s">
        <v>766</v>
      </c>
      <c r="I2" s="87"/>
      <c r="J2" s="87"/>
      <c r="K2" s="191" t="s">
        <v>767</v>
      </c>
      <c r="L2" s="192"/>
      <c r="M2" s="192"/>
      <c r="N2" s="193"/>
      <c r="O2" s="194" t="s">
        <v>768</v>
      </c>
      <c r="P2" s="195"/>
      <c r="Q2" s="195"/>
      <c r="R2" s="195"/>
      <c r="S2" s="195"/>
      <c r="T2" s="196"/>
      <c r="U2" s="191" t="s">
        <v>769</v>
      </c>
      <c r="V2" s="192"/>
      <c r="W2" s="193"/>
      <c r="X2" s="194" t="s">
        <v>770</v>
      </c>
      <c r="Y2" s="196"/>
      <c r="Z2" s="194" t="s">
        <v>771</v>
      </c>
      <c r="AA2" s="196"/>
      <c r="AB2" s="191" t="s">
        <v>772</v>
      </c>
      <c r="AC2" s="192"/>
      <c r="AD2" s="192"/>
      <c r="AE2" s="192"/>
      <c r="AF2" s="192"/>
      <c r="AG2" s="193"/>
      <c r="AH2" s="182" t="s">
        <v>773</v>
      </c>
    </row>
    <row r="3" spans="1:35" ht="71.25">
      <c r="A3" s="198"/>
      <c r="B3" s="94" t="s">
        <v>774</v>
      </c>
      <c r="C3" s="94" t="s">
        <v>775</v>
      </c>
      <c r="D3" s="94" t="s">
        <v>776</v>
      </c>
      <c r="E3" s="95" t="s">
        <v>777</v>
      </c>
      <c r="F3" s="188"/>
      <c r="G3" s="188"/>
      <c r="H3" s="190"/>
      <c r="I3" s="88" t="s">
        <v>778</v>
      </c>
      <c r="J3" s="88" t="s">
        <v>779</v>
      </c>
      <c r="K3" s="94" t="s">
        <v>780</v>
      </c>
      <c r="L3" s="94" t="s">
        <v>781</v>
      </c>
      <c r="M3" s="94" t="s">
        <v>782</v>
      </c>
      <c r="N3" s="94" t="s">
        <v>783</v>
      </c>
      <c r="O3" s="89" t="s">
        <v>784</v>
      </c>
      <c r="P3" s="89" t="s">
        <v>107</v>
      </c>
      <c r="Q3" s="89" t="s">
        <v>785</v>
      </c>
      <c r="R3" s="89" t="s">
        <v>786</v>
      </c>
      <c r="S3" s="89" t="s">
        <v>787</v>
      </c>
      <c r="T3" s="89" t="s">
        <v>788</v>
      </c>
      <c r="U3" s="95" t="s">
        <v>789</v>
      </c>
      <c r="V3" s="200" t="s">
        <v>786</v>
      </c>
      <c r="W3" s="95" t="s">
        <v>790</v>
      </c>
      <c r="X3" s="89" t="s">
        <v>786</v>
      </c>
      <c r="Y3" s="89" t="s">
        <v>791</v>
      </c>
      <c r="Z3" s="89" t="s">
        <v>786</v>
      </c>
      <c r="AA3" s="89" t="s">
        <v>791</v>
      </c>
      <c r="AB3" s="95" t="s">
        <v>792</v>
      </c>
      <c r="AC3" s="95" t="s">
        <v>793</v>
      </c>
      <c r="AD3" s="95" t="s">
        <v>794</v>
      </c>
      <c r="AE3" s="95" t="s">
        <v>795</v>
      </c>
      <c r="AF3" s="95" t="s">
        <v>796</v>
      </c>
      <c r="AG3" s="95" t="s">
        <v>98</v>
      </c>
      <c r="AH3" s="183"/>
      <c r="AI3" s="96" t="s">
        <v>802</v>
      </c>
    </row>
    <row r="4" spans="1:35">
      <c r="A4" s="55" t="s">
        <v>169</v>
      </c>
      <c r="B4" s="91">
        <v>0</v>
      </c>
      <c r="C4" s="91">
        <v>0</v>
      </c>
      <c r="D4" s="91">
        <v>0</v>
      </c>
      <c r="E4" s="90">
        <v>0</v>
      </c>
      <c r="F4" s="91">
        <v>0</v>
      </c>
      <c r="G4" s="91">
        <v>0</v>
      </c>
      <c r="H4" s="91">
        <v>0</v>
      </c>
      <c r="I4" s="91">
        <v>0</v>
      </c>
      <c r="J4" s="91">
        <v>0</v>
      </c>
      <c r="K4" s="91">
        <v>0</v>
      </c>
      <c r="L4" s="91">
        <v>0</v>
      </c>
      <c r="M4" s="91">
        <v>0</v>
      </c>
      <c r="N4" s="91">
        <v>0</v>
      </c>
      <c r="O4" s="91">
        <v>0</v>
      </c>
      <c r="P4" s="91">
        <v>0</v>
      </c>
      <c r="Q4" s="91">
        <v>0</v>
      </c>
      <c r="R4" s="91">
        <v>0</v>
      </c>
      <c r="S4" s="91">
        <v>0</v>
      </c>
      <c r="T4" s="91">
        <v>0</v>
      </c>
      <c r="U4" s="91">
        <v>0</v>
      </c>
      <c r="V4" s="202">
        <v>0</v>
      </c>
      <c r="W4" s="91">
        <v>0</v>
      </c>
      <c r="X4" s="91">
        <v>0</v>
      </c>
      <c r="Y4" s="91">
        <v>0</v>
      </c>
      <c r="Z4" s="91">
        <v>0</v>
      </c>
      <c r="AA4" s="91">
        <v>0</v>
      </c>
      <c r="AB4" s="91">
        <v>0</v>
      </c>
      <c r="AC4" s="91">
        <v>0</v>
      </c>
      <c r="AD4" s="91">
        <v>0</v>
      </c>
      <c r="AE4" s="91">
        <v>0</v>
      </c>
      <c r="AF4" s="91">
        <v>0</v>
      </c>
      <c r="AG4" s="91">
        <v>0</v>
      </c>
      <c r="AH4" s="84">
        <v>1</v>
      </c>
      <c r="AI4" s="97">
        <f>O4+P4+Q4+R4+S4-T4</f>
        <v>0</v>
      </c>
    </row>
    <row r="5" spans="1:35">
      <c r="A5" s="55" t="s">
        <v>170</v>
      </c>
      <c r="B5" s="91">
        <v>0</v>
      </c>
      <c r="C5" s="91">
        <v>0</v>
      </c>
      <c r="D5" s="91">
        <v>2</v>
      </c>
      <c r="E5" s="90">
        <v>3</v>
      </c>
      <c r="F5" s="91">
        <v>1016</v>
      </c>
      <c r="G5" s="91">
        <v>850</v>
      </c>
      <c r="H5" s="91">
        <v>257</v>
      </c>
      <c r="I5" s="91">
        <v>0</v>
      </c>
      <c r="J5" s="91">
        <v>-91</v>
      </c>
      <c r="K5" s="91">
        <v>1198</v>
      </c>
      <c r="L5" s="91">
        <v>828</v>
      </c>
      <c r="M5" s="91">
        <v>737</v>
      </c>
      <c r="N5" s="91">
        <v>1373</v>
      </c>
      <c r="O5" s="91">
        <v>235</v>
      </c>
      <c r="P5" s="91">
        <v>32</v>
      </c>
      <c r="Q5" s="91">
        <v>0</v>
      </c>
      <c r="R5" s="91">
        <v>0</v>
      </c>
      <c r="S5" s="91">
        <v>-101</v>
      </c>
      <c r="T5" s="91">
        <v>0</v>
      </c>
      <c r="U5" s="91">
        <v>0</v>
      </c>
      <c r="V5" s="202">
        <v>0</v>
      </c>
      <c r="W5" s="91">
        <v>-10</v>
      </c>
      <c r="X5" s="91">
        <v>0</v>
      </c>
      <c r="Y5" s="91">
        <v>91</v>
      </c>
      <c r="Z5" s="91">
        <v>0</v>
      </c>
      <c r="AA5" s="91">
        <v>0</v>
      </c>
      <c r="AB5" s="91">
        <v>-10</v>
      </c>
      <c r="AC5" s="91">
        <v>-10</v>
      </c>
      <c r="AD5" s="91">
        <v>-10</v>
      </c>
      <c r="AE5" s="91">
        <v>-10</v>
      </c>
      <c r="AF5" s="91">
        <v>-10</v>
      </c>
      <c r="AG5" s="91">
        <v>-41</v>
      </c>
      <c r="AH5" s="84">
        <v>10.199999999999999</v>
      </c>
      <c r="AI5" s="97">
        <f t="shared" ref="AI5:AI68" si="0">O5+P5+Q5+R5+S5-T5</f>
        <v>166</v>
      </c>
    </row>
    <row r="6" spans="1:35">
      <c r="A6" s="55" t="s">
        <v>171</v>
      </c>
      <c r="B6" s="91">
        <v>0</v>
      </c>
      <c r="C6" s="91">
        <v>0</v>
      </c>
      <c r="D6" s="91">
        <v>0</v>
      </c>
      <c r="E6" s="90">
        <v>0</v>
      </c>
      <c r="F6" s="91">
        <v>0</v>
      </c>
      <c r="G6" s="91">
        <v>0</v>
      </c>
      <c r="H6" s="91">
        <v>0</v>
      </c>
      <c r="I6" s="91">
        <v>0</v>
      </c>
      <c r="J6" s="91">
        <v>0</v>
      </c>
      <c r="K6" s="91">
        <v>0</v>
      </c>
      <c r="L6" s="91">
        <v>0</v>
      </c>
      <c r="M6" s="91">
        <v>0</v>
      </c>
      <c r="N6" s="91">
        <v>0</v>
      </c>
      <c r="O6" s="91">
        <v>0</v>
      </c>
      <c r="P6" s="91">
        <v>0</v>
      </c>
      <c r="Q6" s="91">
        <v>0</v>
      </c>
      <c r="R6" s="91">
        <v>0</v>
      </c>
      <c r="S6" s="91">
        <v>0</v>
      </c>
      <c r="T6" s="91">
        <v>0</v>
      </c>
      <c r="U6" s="91">
        <v>0</v>
      </c>
      <c r="V6" s="202">
        <v>0</v>
      </c>
      <c r="W6" s="91">
        <v>0</v>
      </c>
      <c r="X6" s="91">
        <v>0</v>
      </c>
      <c r="Y6" s="91">
        <v>0</v>
      </c>
      <c r="Z6" s="91">
        <v>0</v>
      </c>
      <c r="AA6" s="91">
        <v>0</v>
      </c>
      <c r="AB6" s="91">
        <v>0</v>
      </c>
      <c r="AC6" s="91">
        <v>0</v>
      </c>
      <c r="AD6" s="91">
        <v>0</v>
      </c>
      <c r="AE6" s="91">
        <v>0</v>
      </c>
      <c r="AF6" s="91">
        <v>0</v>
      </c>
      <c r="AG6" s="91">
        <v>0</v>
      </c>
      <c r="AH6" s="84">
        <v>1</v>
      </c>
      <c r="AI6" s="97">
        <f t="shared" si="0"/>
        <v>0</v>
      </c>
    </row>
    <row r="7" spans="1:35">
      <c r="A7" s="55" t="s">
        <v>172</v>
      </c>
      <c r="B7" s="91">
        <v>0</v>
      </c>
      <c r="C7" s="91">
        <v>0</v>
      </c>
      <c r="D7" s="91">
        <v>1</v>
      </c>
      <c r="E7" s="90">
        <v>1</v>
      </c>
      <c r="F7" s="91">
        <v>2356</v>
      </c>
      <c r="G7" s="91">
        <v>2019</v>
      </c>
      <c r="H7" s="91">
        <v>302</v>
      </c>
      <c r="I7" s="91">
        <v>124.93</v>
      </c>
      <c r="J7" s="91">
        <v>35</v>
      </c>
      <c r="K7" s="91">
        <v>2274</v>
      </c>
      <c r="L7" s="91">
        <v>2411</v>
      </c>
      <c r="M7" s="91">
        <v>2272</v>
      </c>
      <c r="N7" s="91">
        <v>2447</v>
      </c>
      <c r="O7" s="91">
        <v>223</v>
      </c>
      <c r="P7" s="91">
        <v>65</v>
      </c>
      <c r="Q7" s="91">
        <v>0</v>
      </c>
      <c r="R7" s="91">
        <v>0</v>
      </c>
      <c r="S7" s="91">
        <v>49</v>
      </c>
      <c r="T7" s="91">
        <v>0</v>
      </c>
      <c r="U7" s="91">
        <v>0</v>
      </c>
      <c r="V7" s="202">
        <v>0</v>
      </c>
      <c r="W7" s="91">
        <v>14</v>
      </c>
      <c r="X7" s="91">
        <v>0</v>
      </c>
      <c r="Y7" s="91">
        <v>0</v>
      </c>
      <c r="Z7" s="91">
        <v>0</v>
      </c>
      <c r="AA7" s="91">
        <v>35</v>
      </c>
      <c r="AB7" s="91">
        <v>14</v>
      </c>
      <c r="AC7" s="91">
        <v>14</v>
      </c>
      <c r="AD7" s="91">
        <v>7</v>
      </c>
      <c r="AE7" s="91">
        <v>0</v>
      </c>
      <c r="AF7" s="91">
        <v>0</v>
      </c>
      <c r="AG7" s="91">
        <v>0</v>
      </c>
      <c r="AH7" s="84">
        <v>3.6</v>
      </c>
      <c r="AI7" s="97">
        <f t="shared" si="0"/>
        <v>337</v>
      </c>
    </row>
    <row r="8" spans="1:35">
      <c r="A8" s="55" t="s">
        <v>173</v>
      </c>
      <c r="B8" s="91">
        <v>0</v>
      </c>
      <c r="C8" s="91">
        <v>0</v>
      </c>
      <c r="D8" s="91">
        <v>0</v>
      </c>
      <c r="E8" s="90">
        <v>0</v>
      </c>
      <c r="F8" s="91">
        <v>0</v>
      </c>
      <c r="G8" s="91">
        <v>0</v>
      </c>
      <c r="H8" s="91">
        <v>0</v>
      </c>
      <c r="I8" s="91">
        <v>0</v>
      </c>
      <c r="J8" s="91">
        <v>0</v>
      </c>
      <c r="K8" s="91">
        <v>0</v>
      </c>
      <c r="L8" s="91">
        <v>0</v>
      </c>
      <c r="M8" s="91">
        <v>0</v>
      </c>
      <c r="N8" s="91">
        <v>0</v>
      </c>
      <c r="O8" s="91">
        <v>0</v>
      </c>
      <c r="P8" s="91">
        <v>0</v>
      </c>
      <c r="Q8" s="91">
        <v>0</v>
      </c>
      <c r="R8" s="91">
        <v>0</v>
      </c>
      <c r="S8" s="91">
        <v>0</v>
      </c>
      <c r="T8" s="91">
        <v>0</v>
      </c>
      <c r="U8" s="91">
        <v>0</v>
      </c>
      <c r="V8" s="202">
        <v>0</v>
      </c>
      <c r="W8" s="91">
        <v>0</v>
      </c>
      <c r="X8" s="91">
        <v>0</v>
      </c>
      <c r="Y8" s="91">
        <v>0</v>
      </c>
      <c r="Z8" s="91">
        <v>0</v>
      </c>
      <c r="AA8" s="91">
        <v>0</v>
      </c>
      <c r="AB8" s="91">
        <v>0</v>
      </c>
      <c r="AC8" s="91">
        <v>0</v>
      </c>
      <c r="AD8" s="91">
        <v>0</v>
      </c>
      <c r="AE8" s="91">
        <v>0</v>
      </c>
      <c r="AF8" s="91">
        <v>0</v>
      </c>
      <c r="AG8" s="91">
        <v>0</v>
      </c>
      <c r="AH8" s="84">
        <v>1</v>
      </c>
      <c r="AI8" s="97">
        <f t="shared" si="0"/>
        <v>0</v>
      </c>
    </row>
    <row r="9" spans="1:35">
      <c r="A9" s="55" t="s">
        <v>174</v>
      </c>
      <c r="B9" s="91">
        <v>0</v>
      </c>
      <c r="C9" s="91">
        <v>0</v>
      </c>
      <c r="D9" s="91">
        <v>5</v>
      </c>
      <c r="E9" s="90">
        <v>6</v>
      </c>
      <c r="F9" s="91">
        <v>183</v>
      </c>
      <c r="G9" s="91">
        <v>151</v>
      </c>
      <c r="H9" s="91">
        <v>32</v>
      </c>
      <c r="I9" s="91">
        <v>0</v>
      </c>
      <c r="J9" s="91">
        <v>0</v>
      </c>
      <c r="K9" s="91">
        <v>185</v>
      </c>
      <c r="L9" s="91">
        <v>181</v>
      </c>
      <c r="M9" s="91">
        <v>178</v>
      </c>
      <c r="N9" s="91">
        <v>186</v>
      </c>
      <c r="O9" s="91">
        <v>28</v>
      </c>
      <c r="P9" s="91">
        <v>5</v>
      </c>
      <c r="Q9" s="91">
        <v>0</v>
      </c>
      <c r="R9" s="91">
        <v>0</v>
      </c>
      <c r="S9" s="91">
        <v>-1</v>
      </c>
      <c r="T9" s="91">
        <v>0</v>
      </c>
      <c r="U9" s="91">
        <v>0</v>
      </c>
      <c r="V9" s="202">
        <v>0</v>
      </c>
      <c r="W9" s="91">
        <v>-1</v>
      </c>
      <c r="X9" s="91">
        <v>0</v>
      </c>
      <c r="Y9" s="91">
        <v>0</v>
      </c>
      <c r="Z9" s="91">
        <v>0</v>
      </c>
      <c r="AA9" s="91">
        <v>0</v>
      </c>
      <c r="AB9" s="91">
        <v>0</v>
      </c>
      <c r="AC9" s="91">
        <v>0</v>
      </c>
      <c r="AD9" s="91">
        <v>0</v>
      </c>
      <c r="AE9" s="91">
        <v>0</v>
      </c>
      <c r="AF9" s="91">
        <v>0</v>
      </c>
      <c r="AG9" s="91">
        <v>0</v>
      </c>
      <c r="AH9" s="84">
        <v>9.6</v>
      </c>
      <c r="AI9" s="97">
        <f t="shared" si="0"/>
        <v>32</v>
      </c>
    </row>
    <row r="10" spans="1:35">
      <c r="A10" s="55" t="s">
        <v>175</v>
      </c>
      <c r="B10" s="91">
        <v>0</v>
      </c>
      <c r="C10" s="91">
        <v>0</v>
      </c>
      <c r="D10" s="91">
        <v>24</v>
      </c>
      <c r="E10" s="90">
        <v>25</v>
      </c>
      <c r="F10" s="91">
        <v>17359</v>
      </c>
      <c r="G10" s="91">
        <v>12706</v>
      </c>
      <c r="H10" s="91">
        <v>5436</v>
      </c>
      <c r="I10" s="91">
        <v>21.639999999999958</v>
      </c>
      <c r="J10" s="91">
        <v>-783</v>
      </c>
      <c r="K10" s="91">
        <v>18775</v>
      </c>
      <c r="L10" s="91">
        <v>16037</v>
      </c>
      <c r="M10" s="91">
        <v>14939</v>
      </c>
      <c r="N10" s="91">
        <v>20067</v>
      </c>
      <c r="O10" s="91">
        <v>5000</v>
      </c>
      <c r="P10" s="91">
        <v>517</v>
      </c>
      <c r="Q10" s="91">
        <v>0</v>
      </c>
      <c r="R10" s="91">
        <v>0</v>
      </c>
      <c r="S10" s="91">
        <v>-864</v>
      </c>
      <c r="T10" s="91">
        <v>0</v>
      </c>
      <c r="U10" s="91">
        <v>0</v>
      </c>
      <c r="V10" s="202">
        <v>0</v>
      </c>
      <c r="W10" s="91">
        <v>-81</v>
      </c>
      <c r="X10" s="91">
        <v>0</v>
      </c>
      <c r="Y10" s="91">
        <v>783</v>
      </c>
      <c r="Z10" s="91">
        <v>0</v>
      </c>
      <c r="AA10" s="91">
        <v>0</v>
      </c>
      <c r="AB10" s="91">
        <v>-81</v>
      </c>
      <c r="AC10" s="91">
        <v>-81</v>
      </c>
      <c r="AD10" s="91">
        <v>-81</v>
      </c>
      <c r="AE10" s="91">
        <v>-81</v>
      </c>
      <c r="AF10" s="91">
        <v>-81</v>
      </c>
      <c r="AG10" s="91">
        <v>-378</v>
      </c>
      <c r="AH10" s="84">
        <v>10.7</v>
      </c>
      <c r="AI10" s="97">
        <f t="shared" si="0"/>
        <v>4653</v>
      </c>
    </row>
    <row r="11" spans="1:35">
      <c r="A11" s="55" t="s">
        <v>176</v>
      </c>
      <c r="B11" s="91">
        <v>0</v>
      </c>
      <c r="C11" s="91">
        <v>0</v>
      </c>
      <c r="D11" s="91">
        <v>15</v>
      </c>
      <c r="E11" s="90">
        <v>19</v>
      </c>
      <c r="F11" s="91">
        <v>64713</v>
      </c>
      <c r="G11" s="91">
        <v>61895</v>
      </c>
      <c r="H11" s="91">
        <v>5516</v>
      </c>
      <c r="I11" s="91">
        <v>84.829999999999927</v>
      </c>
      <c r="J11" s="91">
        <v>-2698</v>
      </c>
      <c r="K11" s="91">
        <v>69373</v>
      </c>
      <c r="L11" s="91">
        <v>60055</v>
      </c>
      <c r="M11" s="91">
        <v>57241</v>
      </c>
      <c r="N11" s="91">
        <v>73345</v>
      </c>
      <c r="O11" s="91">
        <v>3888</v>
      </c>
      <c r="P11" s="91">
        <v>1921</v>
      </c>
      <c r="Q11" s="91">
        <v>0</v>
      </c>
      <c r="R11" s="91">
        <v>0</v>
      </c>
      <c r="S11" s="91">
        <v>-2991</v>
      </c>
      <c r="T11" s="91">
        <v>0</v>
      </c>
      <c r="U11" s="91">
        <v>0</v>
      </c>
      <c r="V11" s="202">
        <v>0</v>
      </c>
      <c r="W11" s="91">
        <v>-293</v>
      </c>
      <c r="X11" s="91">
        <v>0</v>
      </c>
      <c r="Y11" s="91">
        <v>2698</v>
      </c>
      <c r="Z11" s="91">
        <v>0</v>
      </c>
      <c r="AA11" s="91">
        <v>0</v>
      </c>
      <c r="AB11" s="91">
        <v>-293</v>
      </c>
      <c r="AC11" s="91">
        <v>-293</v>
      </c>
      <c r="AD11" s="91">
        <v>-293</v>
      </c>
      <c r="AE11" s="91">
        <v>-293</v>
      </c>
      <c r="AF11" s="91">
        <v>-293</v>
      </c>
      <c r="AG11" s="91">
        <v>-1233</v>
      </c>
      <c r="AH11" s="84">
        <v>10.199999999999999</v>
      </c>
      <c r="AI11" s="97">
        <f t="shared" si="0"/>
        <v>2818</v>
      </c>
    </row>
    <row r="12" spans="1:35">
      <c r="A12" s="55" t="s">
        <v>177</v>
      </c>
      <c r="B12" s="91">
        <v>0</v>
      </c>
      <c r="C12" s="91">
        <v>0</v>
      </c>
      <c r="D12" s="91">
        <v>0</v>
      </c>
      <c r="E12" s="90">
        <v>0</v>
      </c>
      <c r="F12" s="91">
        <v>0</v>
      </c>
      <c r="G12" s="91">
        <v>0</v>
      </c>
      <c r="H12" s="91">
        <v>0</v>
      </c>
      <c r="I12" s="91">
        <v>0</v>
      </c>
      <c r="J12" s="91">
        <v>0</v>
      </c>
      <c r="K12" s="91">
        <v>0</v>
      </c>
      <c r="L12" s="91">
        <v>0</v>
      </c>
      <c r="M12" s="91">
        <v>0</v>
      </c>
      <c r="N12" s="91">
        <v>0</v>
      </c>
      <c r="O12" s="91">
        <v>0</v>
      </c>
      <c r="P12" s="91">
        <v>0</v>
      </c>
      <c r="Q12" s="91">
        <v>0</v>
      </c>
      <c r="R12" s="91">
        <v>0</v>
      </c>
      <c r="S12" s="91">
        <v>0</v>
      </c>
      <c r="T12" s="91">
        <v>0</v>
      </c>
      <c r="U12" s="91">
        <v>0</v>
      </c>
      <c r="V12" s="202">
        <v>0</v>
      </c>
      <c r="W12" s="91">
        <v>0</v>
      </c>
      <c r="X12" s="91">
        <v>0</v>
      </c>
      <c r="Y12" s="91">
        <v>0</v>
      </c>
      <c r="Z12" s="91">
        <v>0</v>
      </c>
      <c r="AA12" s="91">
        <v>0</v>
      </c>
      <c r="AB12" s="91">
        <v>0</v>
      </c>
      <c r="AC12" s="91">
        <v>0</v>
      </c>
      <c r="AD12" s="91">
        <v>0</v>
      </c>
      <c r="AE12" s="91">
        <v>0</v>
      </c>
      <c r="AF12" s="91">
        <v>0</v>
      </c>
      <c r="AG12" s="91">
        <v>0</v>
      </c>
      <c r="AH12" s="84">
        <v>1</v>
      </c>
      <c r="AI12" s="97">
        <f t="shared" si="0"/>
        <v>0</v>
      </c>
    </row>
    <row r="13" spans="1:35">
      <c r="A13" s="55" t="s">
        <v>178</v>
      </c>
      <c r="B13" s="91">
        <v>1</v>
      </c>
      <c r="C13" s="91">
        <v>0</v>
      </c>
      <c r="D13" s="91">
        <v>7</v>
      </c>
      <c r="E13" s="90">
        <v>8</v>
      </c>
      <c r="F13" s="91">
        <v>209328</v>
      </c>
      <c r="G13" s="91">
        <v>215026</v>
      </c>
      <c r="H13" s="91">
        <v>11271</v>
      </c>
      <c r="I13" s="91">
        <v>9492.32</v>
      </c>
      <c r="J13" s="91">
        <v>-7428</v>
      </c>
      <c r="K13" s="91">
        <v>222773</v>
      </c>
      <c r="L13" s="91">
        <v>196378</v>
      </c>
      <c r="M13" s="91">
        <v>191329</v>
      </c>
      <c r="N13" s="91">
        <v>229602</v>
      </c>
      <c r="O13" s="91">
        <v>6079</v>
      </c>
      <c r="P13" s="91">
        <v>6317</v>
      </c>
      <c r="Q13" s="91">
        <v>0</v>
      </c>
      <c r="R13" s="91">
        <v>0</v>
      </c>
      <c r="S13" s="91">
        <v>-8553</v>
      </c>
      <c r="T13" s="91">
        <v>9541</v>
      </c>
      <c r="U13" s="91">
        <v>0</v>
      </c>
      <c r="V13" s="202">
        <v>0</v>
      </c>
      <c r="W13" s="91">
        <v>-1125</v>
      </c>
      <c r="X13" s="91">
        <v>0</v>
      </c>
      <c r="Y13" s="91">
        <v>7428</v>
      </c>
      <c r="Z13" s="91">
        <v>0</v>
      </c>
      <c r="AA13" s="91">
        <v>0</v>
      </c>
      <c r="AB13" s="91">
        <v>-1125</v>
      </c>
      <c r="AC13" s="91">
        <v>-1125</v>
      </c>
      <c r="AD13" s="91">
        <v>-1125</v>
      </c>
      <c r="AE13" s="91">
        <v>-1125</v>
      </c>
      <c r="AF13" s="91">
        <v>-1125</v>
      </c>
      <c r="AG13" s="91">
        <v>-1803</v>
      </c>
      <c r="AH13" s="84">
        <v>7.6</v>
      </c>
      <c r="AI13" s="97">
        <f t="shared" si="0"/>
        <v>-5698</v>
      </c>
    </row>
    <row r="14" spans="1:35">
      <c r="A14" s="55" t="s">
        <v>179</v>
      </c>
      <c r="B14" s="91">
        <v>0</v>
      </c>
      <c r="C14" s="91">
        <v>0</v>
      </c>
      <c r="D14" s="91">
        <v>2</v>
      </c>
      <c r="E14" s="90">
        <v>3</v>
      </c>
      <c r="F14" s="91">
        <v>9394</v>
      </c>
      <c r="G14" s="91">
        <v>9304</v>
      </c>
      <c r="H14" s="91">
        <v>689</v>
      </c>
      <c r="I14" s="91">
        <v>20.539999999999992</v>
      </c>
      <c r="J14" s="91">
        <v>-599</v>
      </c>
      <c r="K14" s="91">
        <v>10448</v>
      </c>
      <c r="L14" s="91">
        <v>8449</v>
      </c>
      <c r="M14" s="91">
        <v>8011</v>
      </c>
      <c r="N14" s="91">
        <v>11063</v>
      </c>
      <c r="O14" s="91">
        <v>471</v>
      </c>
      <c r="P14" s="91">
        <v>285</v>
      </c>
      <c r="Q14" s="91">
        <v>0</v>
      </c>
      <c r="R14" s="91">
        <v>0</v>
      </c>
      <c r="S14" s="91">
        <v>-666</v>
      </c>
      <c r="T14" s="91">
        <v>0</v>
      </c>
      <c r="U14" s="91">
        <v>0</v>
      </c>
      <c r="V14" s="202">
        <v>0</v>
      </c>
      <c r="W14" s="91">
        <v>-67</v>
      </c>
      <c r="X14" s="91">
        <v>0</v>
      </c>
      <c r="Y14" s="91">
        <v>599</v>
      </c>
      <c r="Z14" s="91">
        <v>0</v>
      </c>
      <c r="AA14" s="91">
        <v>0</v>
      </c>
      <c r="AB14" s="91">
        <v>-67</v>
      </c>
      <c r="AC14" s="91">
        <v>-67</v>
      </c>
      <c r="AD14" s="91">
        <v>-67</v>
      </c>
      <c r="AE14" s="91">
        <v>-67</v>
      </c>
      <c r="AF14" s="91">
        <v>-67</v>
      </c>
      <c r="AG14" s="91">
        <v>-264</v>
      </c>
      <c r="AH14" s="84">
        <v>10</v>
      </c>
      <c r="AI14" s="97">
        <f t="shared" si="0"/>
        <v>90</v>
      </c>
    </row>
    <row r="15" spans="1:35">
      <c r="A15" s="55" t="s">
        <v>180</v>
      </c>
      <c r="B15" s="91">
        <v>0</v>
      </c>
      <c r="C15" s="91">
        <v>0</v>
      </c>
      <c r="D15" s="91">
        <v>0</v>
      </c>
      <c r="E15" s="90">
        <v>0</v>
      </c>
      <c r="F15" s="91">
        <v>0</v>
      </c>
      <c r="G15" s="91">
        <v>0</v>
      </c>
      <c r="H15" s="91">
        <v>0</v>
      </c>
      <c r="I15" s="91">
        <v>0</v>
      </c>
      <c r="J15" s="91">
        <v>0</v>
      </c>
      <c r="K15" s="91">
        <v>0</v>
      </c>
      <c r="L15" s="91">
        <v>0</v>
      </c>
      <c r="M15" s="91">
        <v>0</v>
      </c>
      <c r="N15" s="91">
        <v>0</v>
      </c>
      <c r="O15" s="91">
        <v>0</v>
      </c>
      <c r="P15" s="91">
        <v>0</v>
      </c>
      <c r="Q15" s="91">
        <v>0</v>
      </c>
      <c r="R15" s="91">
        <v>0</v>
      </c>
      <c r="S15" s="91">
        <v>0</v>
      </c>
      <c r="T15" s="91">
        <v>0</v>
      </c>
      <c r="U15" s="91">
        <v>0</v>
      </c>
      <c r="V15" s="202">
        <v>0</v>
      </c>
      <c r="W15" s="91">
        <v>0</v>
      </c>
      <c r="X15" s="91">
        <v>0</v>
      </c>
      <c r="Y15" s="91">
        <v>0</v>
      </c>
      <c r="Z15" s="91">
        <v>0</v>
      </c>
      <c r="AA15" s="91">
        <v>0</v>
      </c>
      <c r="AB15" s="91">
        <v>0</v>
      </c>
      <c r="AC15" s="91">
        <v>0</v>
      </c>
      <c r="AD15" s="91">
        <v>0</v>
      </c>
      <c r="AE15" s="91">
        <v>0</v>
      </c>
      <c r="AF15" s="91">
        <v>0</v>
      </c>
      <c r="AG15" s="91">
        <v>0</v>
      </c>
      <c r="AH15" s="84">
        <v>1</v>
      </c>
      <c r="AI15" s="97">
        <f t="shared" si="0"/>
        <v>0</v>
      </c>
    </row>
    <row r="16" spans="1:35">
      <c r="A16" s="55" t="s">
        <v>181</v>
      </c>
      <c r="B16" s="91">
        <v>0</v>
      </c>
      <c r="C16" s="91">
        <v>0</v>
      </c>
      <c r="D16" s="91">
        <v>4</v>
      </c>
      <c r="E16" s="90">
        <v>5</v>
      </c>
      <c r="F16" s="91">
        <v>5702</v>
      </c>
      <c r="G16" s="91">
        <v>5763</v>
      </c>
      <c r="H16" s="91">
        <v>438</v>
      </c>
      <c r="I16" s="91">
        <v>0</v>
      </c>
      <c r="J16" s="91">
        <v>-499</v>
      </c>
      <c r="K16" s="91">
        <v>6554</v>
      </c>
      <c r="L16" s="91">
        <v>4923</v>
      </c>
      <c r="M16" s="91">
        <v>4529</v>
      </c>
      <c r="N16" s="91">
        <v>7166</v>
      </c>
      <c r="O16" s="91">
        <v>314</v>
      </c>
      <c r="P16" s="91">
        <v>177</v>
      </c>
      <c r="Q16" s="91">
        <v>0</v>
      </c>
      <c r="R16" s="91">
        <v>0</v>
      </c>
      <c r="S16" s="91">
        <v>-552</v>
      </c>
      <c r="T16" s="91">
        <v>0</v>
      </c>
      <c r="U16" s="91">
        <v>0</v>
      </c>
      <c r="V16" s="202">
        <v>0</v>
      </c>
      <c r="W16" s="91">
        <v>-53</v>
      </c>
      <c r="X16" s="91">
        <v>0</v>
      </c>
      <c r="Y16" s="91">
        <v>499</v>
      </c>
      <c r="Z16" s="91">
        <v>0</v>
      </c>
      <c r="AA16" s="91">
        <v>0</v>
      </c>
      <c r="AB16" s="91">
        <v>-53</v>
      </c>
      <c r="AC16" s="91">
        <v>-53</v>
      </c>
      <c r="AD16" s="91">
        <v>-53</v>
      </c>
      <c r="AE16" s="91">
        <v>-53</v>
      </c>
      <c r="AF16" s="91">
        <v>-53</v>
      </c>
      <c r="AG16" s="91">
        <v>-234</v>
      </c>
      <c r="AH16" s="84">
        <v>10.4</v>
      </c>
      <c r="AI16" s="97">
        <f t="shared" si="0"/>
        <v>-61</v>
      </c>
    </row>
    <row r="17" spans="1:35">
      <c r="A17" s="55" t="s">
        <v>182</v>
      </c>
      <c r="B17" s="91">
        <v>0</v>
      </c>
      <c r="C17" s="91">
        <v>0</v>
      </c>
      <c r="D17" s="91">
        <v>17</v>
      </c>
      <c r="E17" s="90">
        <v>17</v>
      </c>
      <c r="F17" s="91">
        <v>19674</v>
      </c>
      <c r="G17" s="91">
        <v>18301</v>
      </c>
      <c r="H17" s="91">
        <v>2722</v>
      </c>
      <c r="I17" s="91">
        <v>2.8700000000000117</v>
      </c>
      <c r="J17" s="91">
        <v>-1349</v>
      </c>
      <c r="K17" s="91">
        <v>22011</v>
      </c>
      <c r="L17" s="91">
        <v>17532</v>
      </c>
      <c r="M17" s="91">
        <v>16619</v>
      </c>
      <c r="N17" s="91">
        <v>23322</v>
      </c>
      <c r="O17" s="91">
        <v>2283</v>
      </c>
      <c r="P17" s="91">
        <v>601</v>
      </c>
      <c r="Q17" s="91">
        <v>0</v>
      </c>
      <c r="R17" s="91">
        <v>0</v>
      </c>
      <c r="S17" s="91">
        <v>-1511</v>
      </c>
      <c r="T17" s="91">
        <v>0</v>
      </c>
      <c r="U17" s="91">
        <v>0</v>
      </c>
      <c r="V17" s="202">
        <v>0</v>
      </c>
      <c r="W17" s="91">
        <v>-162</v>
      </c>
      <c r="X17" s="91">
        <v>0</v>
      </c>
      <c r="Y17" s="91">
        <v>1349</v>
      </c>
      <c r="Z17" s="91">
        <v>0</v>
      </c>
      <c r="AA17" s="91">
        <v>0</v>
      </c>
      <c r="AB17" s="91">
        <v>-162</v>
      </c>
      <c r="AC17" s="91">
        <v>-162</v>
      </c>
      <c r="AD17" s="91">
        <v>-162</v>
      </c>
      <c r="AE17" s="91">
        <v>-162</v>
      </c>
      <c r="AF17" s="91">
        <v>-162</v>
      </c>
      <c r="AG17" s="91">
        <v>-539</v>
      </c>
      <c r="AH17" s="84">
        <v>9.3000000000000007</v>
      </c>
      <c r="AI17" s="97">
        <f t="shared" si="0"/>
        <v>1373</v>
      </c>
    </row>
    <row r="18" spans="1:35">
      <c r="A18" s="55" t="s">
        <v>183</v>
      </c>
      <c r="B18" s="91">
        <v>0</v>
      </c>
      <c r="C18" s="91">
        <v>0</v>
      </c>
      <c r="D18" s="91">
        <v>0</v>
      </c>
      <c r="E18" s="90">
        <v>0</v>
      </c>
      <c r="F18" s="91">
        <v>0</v>
      </c>
      <c r="G18" s="91">
        <v>0</v>
      </c>
      <c r="H18" s="91">
        <v>0</v>
      </c>
      <c r="I18" s="91">
        <v>0</v>
      </c>
      <c r="J18" s="91">
        <v>0</v>
      </c>
      <c r="K18" s="91">
        <v>0</v>
      </c>
      <c r="L18" s="91">
        <v>0</v>
      </c>
      <c r="M18" s="91">
        <v>0</v>
      </c>
      <c r="N18" s="91">
        <v>0</v>
      </c>
      <c r="O18" s="91">
        <v>0</v>
      </c>
      <c r="P18" s="91">
        <v>0</v>
      </c>
      <c r="Q18" s="91">
        <v>0</v>
      </c>
      <c r="R18" s="91">
        <v>0</v>
      </c>
      <c r="S18" s="91">
        <v>0</v>
      </c>
      <c r="T18" s="91">
        <v>0</v>
      </c>
      <c r="U18" s="91">
        <v>0</v>
      </c>
      <c r="V18" s="202">
        <v>0</v>
      </c>
      <c r="W18" s="91">
        <v>0</v>
      </c>
      <c r="X18" s="91">
        <v>0</v>
      </c>
      <c r="Y18" s="91">
        <v>0</v>
      </c>
      <c r="Z18" s="91">
        <v>0</v>
      </c>
      <c r="AA18" s="91">
        <v>0</v>
      </c>
      <c r="AB18" s="91">
        <v>0</v>
      </c>
      <c r="AC18" s="91">
        <v>0</v>
      </c>
      <c r="AD18" s="91">
        <v>0</v>
      </c>
      <c r="AE18" s="91">
        <v>0</v>
      </c>
      <c r="AF18" s="91">
        <v>0</v>
      </c>
      <c r="AG18" s="91">
        <v>0</v>
      </c>
      <c r="AH18" s="84">
        <v>1</v>
      </c>
      <c r="AI18" s="97">
        <f t="shared" si="0"/>
        <v>0</v>
      </c>
    </row>
    <row r="19" spans="1:35">
      <c r="A19" s="55" t="s">
        <v>184</v>
      </c>
      <c r="B19" s="91">
        <v>0</v>
      </c>
      <c r="C19" s="91">
        <v>0</v>
      </c>
      <c r="D19" s="91">
        <v>0</v>
      </c>
      <c r="E19" s="90">
        <v>0</v>
      </c>
      <c r="F19" s="91">
        <v>0</v>
      </c>
      <c r="G19" s="91">
        <v>0</v>
      </c>
      <c r="H19" s="91">
        <v>0</v>
      </c>
      <c r="I19" s="91">
        <v>0</v>
      </c>
      <c r="J19" s="91">
        <v>0</v>
      </c>
      <c r="K19" s="91">
        <v>0</v>
      </c>
      <c r="L19" s="91">
        <v>0</v>
      </c>
      <c r="M19" s="91">
        <v>0</v>
      </c>
      <c r="N19" s="91">
        <v>0</v>
      </c>
      <c r="O19" s="91">
        <v>0</v>
      </c>
      <c r="P19" s="91">
        <v>0</v>
      </c>
      <c r="Q19" s="91">
        <v>0</v>
      </c>
      <c r="R19" s="91">
        <v>0</v>
      </c>
      <c r="S19" s="91">
        <v>0</v>
      </c>
      <c r="T19" s="91">
        <v>0</v>
      </c>
      <c r="U19" s="91">
        <v>0</v>
      </c>
      <c r="V19" s="202">
        <v>0</v>
      </c>
      <c r="W19" s="91">
        <v>0</v>
      </c>
      <c r="X19" s="91">
        <v>0</v>
      </c>
      <c r="Y19" s="91">
        <v>0</v>
      </c>
      <c r="Z19" s="91">
        <v>0</v>
      </c>
      <c r="AA19" s="91">
        <v>0</v>
      </c>
      <c r="AB19" s="91">
        <v>0</v>
      </c>
      <c r="AC19" s="91">
        <v>0</v>
      </c>
      <c r="AD19" s="91">
        <v>0</v>
      </c>
      <c r="AE19" s="91">
        <v>0</v>
      </c>
      <c r="AF19" s="91">
        <v>0</v>
      </c>
      <c r="AG19" s="91">
        <v>0</v>
      </c>
      <c r="AH19" s="84">
        <v>1</v>
      </c>
      <c r="AI19" s="97">
        <f t="shared" si="0"/>
        <v>0</v>
      </c>
    </row>
    <row r="20" spans="1:35">
      <c r="A20" s="55" t="s">
        <v>185</v>
      </c>
      <c r="B20" s="91">
        <v>0</v>
      </c>
      <c r="C20" s="91">
        <v>0</v>
      </c>
      <c r="D20" s="91">
        <v>3</v>
      </c>
      <c r="E20" s="90">
        <v>3</v>
      </c>
      <c r="F20" s="91">
        <v>1778</v>
      </c>
      <c r="G20" s="91">
        <v>1728</v>
      </c>
      <c r="H20" s="91">
        <v>177</v>
      </c>
      <c r="I20" s="91">
        <v>146.02999999999997</v>
      </c>
      <c r="J20" s="91">
        <v>-127</v>
      </c>
      <c r="K20" s="91">
        <v>2004</v>
      </c>
      <c r="L20" s="91">
        <v>1588</v>
      </c>
      <c r="M20" s="91">
        <v>1460</v>
      </c>
      <c r="N20" s="91">
        <v>2167</v>
      </c>
      <c r="O20" s="91">
        <v>138</v>
      </c>
      <c r="P20" s="91">
        <v>54</v>
      </c>
      <c r="Q20" s="91">
        <v>0</v>
      </c>
      <c r="R20" s="91">
        <v>0</v>
      </c>
      <c r="S20" s="91">
        <v>-142</v>
      </c>
      <c r="T20" s="91">
        <v>0</v>
      </c>
      <c r="U20" s="91">
        <v>0</v>
      </c>
      <c r="V20" s="202">
        <v>0</v>
      </c>
      <c r="W20" s="91">
        <v>-15</v>
      </c>
      <c r="X20" s="91">
        <v>0</v>
      </c>
      <c r="Y20" s="91">
        <v>127</v>
      </c>
      <c r="Z20" s="91">
        <v>0</v>
      </c>
      <c r="AA20" s="91">
        <v>0</v>
      </c>
      <c r="AB20" s="91">
        <v>-15</v>
      </c>
      <c r="AC20" s="91">
        <v>-15</v>
      </c>
      <c r="AD20" s="91">
        <v>-15</v>
      </c>
      <c r="AE20" s="91">
        <v>-15</v>
      </c>
      <c r="AF20" s="91">
        <v>-15</v>
      </c>
      <c r="AG20" s="91">
        <v>-52</v>
      </c>
      <c r="AH20" s="84">
        <v>9.4</v>
      </c>
      <c r="AI20" s="97">
        <f t="shared" si="0"/>
        <v>50</v>
      </c>
    </row>
    <row r="21" spans="1:35">
      <c r="A21" s="55" t="s">
        <v>186</v>
      </c>
      <c r="B21" s="91">
        <v>0</v>
      </c>
      <c r="C21" s="91">
        <v>0</v>
      </c>
      <c r="D21" s="91">
        <v>0</v>
      </c>
      <c r="E21" s="90">
        <v>0</v>
      </c>
      <c r="F21" s="91">
        <v>0</v>
      </c>
      <c r="G21" s="91">
        <v>0</v>
      </c>
      <c r="H21" s="91">
        <v>0</v>
      </c>
      <c r="I21" s="91">
        <v>0</v>
      </c>
      <c r="J21" s="91">
        <v>0</v>
      </c>
      <c r="K21" s="91">
        <v>0</v>
      </c>
      <c r="L21" s="91">
        <v>0</v>
      </c>
      <c r="M21" s="91">
        <v>0</v>
      </c>
      <c r="N21" s="91">
        <v>0</v>
      </c>
      <c r="O21" s="91">
        <v>0</v>
      </c>
      <c r="P21" s="91">
        <v>0</v>
      </c>
      <c r="Q21" s="91">
        <v>0</v>
      </c>
      <c r="R21" s="91">
        <v>0</v>
      </c>
      <c r="S21" s="91">
        <v>0</v>
      </c>
      <c r="T21" s="91">
        <v>0</v>
      </c>
      <c r="U21" s="91">
        <v>0</v>
      </c>
      <c r="V21" s="202">
        <v>0</v>
      </c>
      <c r="W21" s="91">
        <v>0</v>
      </c>
      <c r="X21" s="91">
        <v>0</v>
      </c>
      <c r="Y21" s="91">
        <v>0</v>
      </c>
      <c r="Z21" s="91">
        <v>0</v>
      </c>
      <c r="AA21" s="91">
        <v>0</v>
      </c>
      <c r="AB21" s="91">
        <v>0</v>
      </c>
      <c r="AC21" s="91">
        <v>0</v>
      </c>
      <c r="AD21" s="91">
        <v>0</v>
      </c>
      <c r="AE21" s="91">
        <v>0</v>
      </c>
      <c r="AF21" s="91">
        <v>0</v>
      </c>
      <c r="AG21" s="91">
        <v>0</v>
      </c>
      <c r="AH21" s="84">
        <v>1</v>
      </c>
      <c r="AI21" s="97">
        <f t="shared" si="0"/>
        <v>0</v>
      </c>
    </row>
    <row r="22" spans="1:35">
      <c r="A22" s="55" t="s">
        <v>187</v>
      </c>
      <c r="B22" s="91">
        <v>0</v>
      </c>
      <c r="C22" s="91">
        <v>0</v>
      </c>
      <c r="D22" s="91">
        <v>0</v>
      </c>
      <c r="E22" s="90">
        <v>0</v>
      </c>
      <c r="F22" s="91">
        <v>0</v>
      </c>
      <c r="G22" s="91">
        <v>0</v>
      </c>
      <c r="H22" s="91">
        <v>0</v>
      </c>
      <c r="I22" s="91">
        <v>0</v>
      </c>
      <c r="J22" s="91">
        <v>0</v>
      </c>
      <c r="K22" s="91">
        <v>0</v>
      </c>
      <c r="L22" s="91">
        <v>0</v>
      </c>
      <c r="M22" s="91">
        <v>0</v>
      </c>
      <c r="N22" s="91">
        <v>0</v>
      </c>
      <c r="O22" s="91">
        <v>0</v>
      </c>
      <c r="P22" s="91">
        <v>0</v>
      </c>
      <c r="Q22" s="91">
        <v>0</v>
      </c>
      <c r="R22" s="91">
        <v>0</v>
      </c>
      <c r="S22" s="91">
        <v>0</v>
      </c>
      <c r="T22" s="91">
        <v>0</v>
      </c>
      <c r="U22" s="91">
        <v>0</v>
      </c>
      <c r="V22" s="202">
        <v>0</v>
      </c>
      <c r="W22" s="91">
        <v>0</v>
      </c>
      <c r="X22" s="91">
        <v>0</v>
      </c>
      <c r="Y22" s="91">
        <v>0</v>
      </c>
      <c r="Z22" s="91">
        <v>0</v>
      </c>
      <c r="AA22" s="91">
        <v>0</v>
      </c>
      <c r="AB22" s="91">
        <v>0</v>
      </c>
      <c r="AC22" s="91">
        <v>0</v>
      </c>
      <c r="AD22" s="91">
        <v>0</v>
      </c>
      <c r="AE22" s="91">
        <v>0</v>
      </c>
      <c r="AF22" s="91">
        <v>0</v>
      </c>
      <c r="AG22" s="91">
        <v>0</v>
      </c>
      <c r="AH22" s="84">
        <v>1</v>
      </c>
      <c r="AI22" s="97">
        <f t="shared" si="0"/>
        <v>0</v>
      </c>
    </row>
    <row r="23" spans="1:35">
      <c r="A23" s="55" t="s">
        <v>188</v>
      </c>
      <c r="B23" s="91">
        <v>0</v>
      </c>
      <c r="C23" s="91">
        <v>0</v>
      </c>
      <c r="D23" s="91">
        <v>13</v>
      </c>
      <c r="E23" s="90">
        <v>13</v>
      </c>
      <c r="F23" s="91">
        <v>4075</v>
      </c>
      <c r="G23" s="91">
        <v>3064</v>
      </c>
      <c r="H23" s="91">
        <v>1329</v>
      </c>
      <c r="I23" s="91">
        <v>0</v>
      </c>
      <c r="J23" s="91">
        <v>-318</v>
      </c>
      <c r="K23" s="91">
        <v>4610</v>
      </c>
      <c r="L23" s="91">
        <v>3556</v>
      </c>
      <c r="M23" s="91">
        <v>3256</v>
      </c>
      <c r="N23" s="91">
        <v>5089</v>
      </c>
      <c r="O23" s="91">
        <v>1238</v>
      </c>
      <c r="P23" s="91">
        <v>126</v>
      </c>
      <c r="Q23" s="91">
        <v>0</v>
      </c>
      <c r="R23" s="91">
        <v>0</v>
      </c>
      <c r="S23" s="91">
        <v>-353</v>
      </c>
      <c r="T23" s="91">
        <v>0</v>
      </c>
      <c r="U23" s="91">
        <v>0</v>
      </c>
      <c r="V23" s="202">
        <v>0</v>
      </c>
      <c r="W23" s="91">
        <v>-35</v>
      </c>
      <c r="X23" s="91">
        <v>0</v>
      </c>
      <c r="Y23" s="91">
        <v>318</v>
      </c>
      <c r="Z23" s="91">
        <v>0</v>
      </c>
      <c r="AA23" s="91">
        <v>0</v>
      </c>
      <c r="AB23" s="91">
        <v>-35</v>
      </c>
      <c r="AC23" s="91">
        <v>-35</v>
      </c>
      <c r="AD23" s="91">
        <v>-35</v>
      </c>
      <c r="AE23" s="91">
        <v>-35</v>
      </c>
      <c r="AF23" s="91">
        <v>-35</v>
      </c>
      <c r="AG23" s="91">
        <v>-143</v>
      </c>
      <c r="AH23" s="84">
        <v>10.199999999999999</v>
      </c>
      <c r="AI23" s="97">
        <f t="shared" si="0"/>
        <v>1011</v>
      </c>
    </row>
    <row r="24" spans="1:35">
      <c r="A24" s="55" t="s">
        <v>189</v>
      </c>
      <c r="B24" s="91">
        <v>0</v>
      </c>
      <c r="C24" s="91">
        <v>0</v>
      </c>
      <c r="D24" s="91">
        <v>6</v>
      </c>
      <c r="E24" s="90">
        <v>7</v>
      </c>
      <c r="F24" s="91">
        <v>10173</v>
      </c>
      <c r="G24" s="91">
        <v>9245</v>
      </c>
      <c r="H24" s="91">
        <v>1164</v>
      </c>
      <c r="I24" s="91">
        <v>367.46000000000015</v>
      </c>
      <c r="J24" s="91">
        <v>-236</v>
      </c>
      <c r="K24" s="91">
        <v>10591</v>
      </c>
      <c r="L24" s="91">
        <v>9749</v>
      </c>
      <c r="M24" s="91">
        <v>9416</v>
      </c>
      <c r="N24" s="91">
        <v>11020</v>
      </c>
      <c r="O24" s="91">
        <v>906</v>
      </c>
      <c r="P24" s="91">
        <v>296</v>
      </c>
      <c r="Q24" s="91">
        <v>0</v>
      </c>
      <c r="R24" s="91">
        <v>0</v>
      </c>
      <c r="S24" s="91">
        <v>-274</v>
      </c>
      <c r="T24" s="91">
        <v>0</v>
      </c>
      <c r="U24" s="91">
        <v>0</v>
      </c>
      <c r="V24" s="202">
        <v>0</v>
      </c>
      <c r="W24" s="91">
        <v>-38</v>
      </c>
      <c r="X24" s="91">
        <v>0</v>
      </c>
      <c r="Y24" s="91">
        <v>236</v>
      </c>
      <c r="Z24" s="91">
        <v>0</v>
      </c>
      <c r="AA24" s="91">
        <v>0</v>
      </c>
      <c r="AB24" s="91">
        <v>-38</v>
      </c>
      <c r="AC24" s="91">
        <v>-38</v>
      </c>
      <c r="AD24" s="91">
        <v>-38</v>
      </c>
      <c r="AE24" s="91">
        <v>-38</v>
      </c>
      <c r="AF24" s="91">
        <v>-38</v>
      </c>
      <c r="AG24" s="91">
        <v>-46</v>
      </c>
      <c r="AH24" s="84">
        <v>7.3</v>
      </c>
      <c r="AI24" s="97">
        <f t="shared" si="0"/>
        <v>928</v>
      </c>
    </row>
    <row r="25" spans="1:35">
      <c r="A25" s="55" t="s">
        <v>190</v>
      </c>
      <c r="B25" s="91">
        <v>0</v>
      </c>
      <c r="C25" s="91">
        <v>0</v>
      </c>
      <c r="D25" s="91">
        <v>0</v>
      </c>
      <c r="E25" s="90">
        <v>0</v>
      </c>
      <c r="F25" s="91">
        <v>0</v>
      </c>
      <c r="G25" s="91">
        <v>0</v>
      </c>
      <c r="H25" s="91">
        <v>0</v>
      </c>
      <c r="I25" s="91">
        <v>0</v>
      </c>
      <c r="J25" s="91">
        <v>0</v>
      </c>
      <c r="K25" s="91">
        <v>0</v>
      </c>
      <c r="L25" s="91">
        <v>0</v>
      </c>
      <c r="M25" s="91">
        <v>0</v>
      </c>
      <c r="N25" s="91">
        <v>0</v>
      </c>
      <c r="O25" s="91">
        <v>0</v>
      </c>
      <c r="P25" s="91">
        <v>0</v>
      </c>
      <c r="Q25" s="91">
        <v>0</v>
      </c>
      <c r="R25" s="91">
        <v>0</v>
      </c>
      <c r="S25" s="91">
        <v>0</v>
      </c>
      <c r="T25" s="91">
        <v>0</v>
      </c>
      <c r="U25" s="91">
        <v>0</v>
      </c>
      <c r="V25" s="202">
        <v>0</v>
      </c>
      <c r="W25" s="91">
        <v>0</v>
      </c>
      <c r="X25" s="91">
        <v>0</v>
      </c>
      <c r="Y25" s="91">
        <v>0</v>
      </c>
      <c r="Z25" s="91">
        <v>0</v>
      </c>
      <c r="AA25" s="91">
        <v>0</v>
      </c>
      <c r="AB25" s="91">
        <v>0</v>
      </c>
      <c r="AC25" s="91">
        <v>0</v>
      </c>
      <c r="AD25" s="91">
        <v>0</v>
      </c>
      <c r="AE25" s="91">
        <v>0</v>
      </c>
      <c r="AF25" s="91">
        <v>0</v>
      </c>
      <c r="AG25" s="91">
        <v>0</v>
      </c>
      <c r="AH25" s="84">
        <v>1</v>
      </c>
      <c r="AI25" s="97">
        <f t="shared" si="0"/>
        <v>0</v>
      </c>
    </row>
    <row r="26" spans="1:35">
      <c r="A26" s="55" t="s">
        <v>191</v>
      </c>
      <c r="B26" s="91">
        <v>1</v>
      </c>
      <c r="C26" s="91">
        <v>0</v>
      </c>
      <c r="D26" s="91">
        <v>200</v>
      </c>
      <c r="E26" s="90">
        <v>221</v>
      </c>
      <c r="F26" s="91">
        <v>478753</v>
      </c>
      <c r="G26" s="91">
        <v>447954</v>
      </c>
      <c r="H26" s="91">
        <v>59147</v>
      </c>
      <c r="I26" s="91">
        <v>7275.0699999999924</v>
      </c>
      <c r="J26" s="91">
        <v>-24110</v>
      </c>
      <c r="K26" s="91">
        <v>521006</v>
      </c>
      <c r="L26" s="91">
        <v>438958</v>
      </c>
      <c r="M26" s="91">
        <v>414644</v>
      </c>
      <c r="N26" s="91">
        <v>555567</v>
      </c>
      <c r="O26" s="91">
        <v>47367</v>
      </c>
      <c r="P26" s="91">
        <v>14401</v>
      </c>
      <c r="Q26" s="91">
        <v>0</v>
      </c>
      <c r="R26" s="91">
        <v>0</v>
      </c>
      <c r="S26" s="91">
        <v>-26731</v>
      </c>
      <c r="T26" s="91">
        <v>4238</v>
      </c>
      <c r="U26" s="91">
        <v>0</v>
      </c>
      <c r="V26" s="202">
        <v>0</v>
      </c>
      <c r="W26" s="91">
        <v>-2621</v>
      </c>
      <c r="X26" s="91">
        <v>0</v>
      </c>
      <c r="Y26" s="91">
        <v>24110</v>
      </c>
      <c r="Z26" s="91">
        <v>0</v>
      </c>
      <c r="AA26" s="91">
        <v>0</v>
      </c>
      <c r="AB26" s="91">
        <v>-2621</v>
      </c>
      <c r="AC26" s="91">
        <v>-2621</v>
      </c>
      <c r="AD26" s="91">
        <v>-2621</v>
      </c>
      <c r="AE26" s="91">
        <v>-2621</v>
      </c>
      <c r="AF26" s="91">
        <v>-2621</v>
      </c>
      <c r="AG26" s="91">
        <v>-11005</v>
      </c>
      <c r="AH26" s="84">
        <v>10.199999999999999</v>
      </c>
      <c r="AI26" s="97">
        <f t="shared" si="0"/>
        <v>30799</v>
      </c>
    </row>
    <row r="27" spans="1:35" ht="22.5">
      <c r="A27" s="55" t="s">
        <v>192</v>
      </c>
      <c r="B27" s="91">
        <v>0</v>
      </c>
      <c r="C27" s="91">
        <v>0</v>
      </c>
      <c r="D27" s="91">
        <v>0</v>
      </c>
      <c r="E27" s="90">
        <v>0</v>
      </c>
      <c r="F27" s="91">
        <v>0</v>
      </c>
      <c r="G27" s="91">
        <v>0</v>
      </c>
      <c r="H27" s="91">
        <v>0</v>
      </c>
      <c r="I27" s="91">
        <v>0</v>
      </c>
      <c r="J27" s="91">
        <v>0</v>
      </c>
      <c r="K27" s="91">
        <v>0</v>
      </c>
      <c r="L27" s="91">
        <v>0</v>
      </c>
      <c r="M27" s="91">
        <v>0</v>
      </c>
      <c r="N27" s="91">
        <v>0</v>
      </c>
      <c r="O27" s="91">
        <v>0</v>
      </c>
      <c r="P27" s="91">
        <v>0</v>
      </c>
      <c r="Q27" s="91">
        <v>0</v>
      </c>
      <c r="R27" s="91">
        <v>0</v>
      </c>
      <c r="S27" s="91">
        <v>0</v>
      </c>
      <c r="T27" s="91">
        <v>0</v>
      </c>
      <c r="U27" s="91">
        <v>0</v>
      </c>
      <c r="V27" s="202">
        <v>0</v>
      </c>
      <c r="W27" s="91">
        <v>0</v>
      </c>
      <c r="X27" s="91">
        <v>0</v>
      </c>
      <c r="Y27" s="91">
        <v>0</v>
      </c>
      <c r="Z27" s="91">
        <v>0</v>
      </c>
      <c r="AA27" s="91">
        <v>0</v>
      </c>
      <c r="AB27" s="91">
        <v>0</v>
      </c>
      <c r="AC27" s="91">
        <v>0</v>
      </c>
      <c r="AD27" s="91">
        <v>0</v>
      </c>
      <c r="AE27" s="91">
        <v>0</v>
      </c>
      <c r="AF27" s="91">
        <v>0</v>
      </c>
      <c r="AG27" s="91">
        <v>0</v>
      </c>
      <c r="AH27" s="84">
        <v>1</v>
      </c>
      <c r="AI27" s="97">
        <f t="shared" si="0"/>
        <v>0</v>
      </c>
    </row>
    <row r="28" spans="1:35">
      <c r="A28" s="55" t="s">
        <v>193</v>
      </c>
      <c r="B28" s="91">
        <v>0</v>
      </c>
      <c r="C28" s="91">
        <v>0</v>
      </c>
      <c r="D28" s="91">
        <v>29</v>
      </c>
      <c r="E28" s="90">
        <v>36</v>
      </c>
      <c r="F28" s="91">
        <v>35927</v>
      </c>
      <c r="G28" s="91">
        <v>32555</v>
      </c>
      <c r="H28" s="91">
        <v>5087</v>
      </c>
      <c r="I28" s="91">
        <v>364.41000000000008</v>
      </c>
      <c r="J28" s="91">
        <v>-1715</v>
      </c>
      <c r="K28" s="91">
        <v>38883</v>
      </c>
      <c r="L28" s="91">
        <v>33149</v>
      </c>
      <c r="M28" s="91">
        <v>31378</v>
      </c>
      <c r="N28" s="91">
        <v>41359</v>
      </c>
      <c r="O28" s="91">
        <v>4227</v>
      </c>
      <c r="P28" s="91">
        <v>1074</v>
      </c>
      <c r="Q28" s="91">
        <v>0</v>
      </c>
      <c r="R28" s="91">
        <v>0</v>
      </c>
      <c r="S28" s="91">
        <v>-1929</v>
      </c>
      <c r="T28" s="91">
        <v>0</v>
      </c>
      <c r="U28" s="91">
        <v>0</v>
      </c>
      <c r="V28" s="202">
        <v>0</v>
      </c>
      <c r="W28" s="91">
        <v>-214</v>
      </c>
      <c r="X28" s="91">
        <v>0</v>
      </c>
      <c r="Y28" s="91">
        <v>1715</v>
      </c>
      <c r="Z28" s="91">
        <v>0</v>
      </c>
      <c r="AA28" s="91">
        <v>0</v>
      </c>
      <c r="AB28" s="91">
        <v>-214</v>
      </c>
      <c r="AC28" s="91">
        <v>-214</v>
      </c>
      <c r="AD28" s="91">
        <v>-214</v>
      </c>
      <c r="AE28" s="91">
        <v>-214</v>
      </c>
      <c r="AF28" s="91">
        <v>-214</v>
      </c>
      <c r="AG28" s="91">
        <v>-645</v>
      </c>
      <c r="AH28" s="84">
        <v>9</v>
      </c>
      <c r="AI28" s="97">
        <f t="shared" si="0"/>
        <v>3372</v>
      </c>
    </row>
    <row r="29" spans="1:35">
      <c r="A29" s="55" t="s">
        <v>194</v>
      </c>
      <c r="B29" s="91">
        <v>0</v>
      </c>
      <c r="C29" s="91">
        <v>0</v>
      </c>
      <c r="D29" s="91">
        <v>19</v>
      </c>
      <c r="E29" s="90">
        <v>21</v>
      </c>
      <c r="F29" s="91">
        <v>57083</v>
      </c>
      <c r="G29" s="91">
        <v>52404</v>
      </c>
      <c r="H29" s="91">
        <v>6683</v>
      </c>
      <c r="I29" s="91">
        <v>559.45000000000005</v>
      </c>
      <c r="J29" s="91">
        <v>-2004</v>
      </c>
      <c r="K29" s="91">
        <v>60585</v>
      </c>
      <c r="L29" s="91">
        <v>53661</v>
      </c>
      <c r="M29" s="91">
        <v>51099</v>
      </c>
      <c r="N29" s="91">
        <v>64163</v>
      </c>
      <c r="O29" s="91">
        <v>5256</v>
      </c>
      <c r="P29" s="91">
        <v>1684</v>
      </c>
      <c r="Q29" s="91">
        <v>0</v>
      </c>
      <c r="R29" s="91">
        <v>0</v>
      </c>
      <c r="S29" s="91">
        <v>-2261</v>
      </c>
      <c r="T29" s="91">
        <v>0</v>
      </c>
      <c r="U29" s="91">
        <v>0</v>
      </c>
      <c r="V29" s="202">
        <v>0</v>
      </c>
      <c r="W29" s="91">
        <v>-257</v>
      </c>
      <c r="X29" s="91">
        <v>0</v>
      </c>
      <c r="Y29" s="91">
        <v>2004</v>
      </c>
      <c r="Z29" s="91">
        <v>0</v>
      </c>
      <c r="AA29" s="91">
        <v>0</v>
      </c>
      <c r="AB29" s="91">
        <v>-257</v>
      </c>
      <c r="AC29" s="91">
        <v>-257</v>
      </c>
      <c r="AD29" s="91">
        <v>-257</v>
      </c>
      <c r="AE29" s="91">
        <v>-257</v>
      </c>
      <c r="AF29" s="91">
        <v>-257</v>
      </c>
      <c r="AG29" s="91">
        <v>-719</v>
      </c>
      <c r="AH29" s="84">
        <v>8.8000000000000007</v>
      </c>
      <c r="AI29" s="97">
        <f t="shared" si="0"/>
        <v>4679</v>
      </c>
    </row>
    <row r="30" spans="1:35">
      <c r="A30" s="55" t="s">
        <v>195</v>
      </c>
      <c r="B30" s="91">
        <v>2</v>
      </c>
      <c r="C30" s="91">
        <v>0</v>
      </c>
      <c r="D30" s="91">
        <v>0</v>
      </c>
      <c r="E30" s="90">
        <v>0</v>
      </c>
      <c r="F30" s="91">
        <v>36807</v>
      </c>
      <c r="G30" s="91">
        <v>42763</v>
      </c>
      <c r="H30" s="91">
        <v>568</v>
      </c>
      <c r="I30" s="91">
        <v>6495.27</v>
      </c>
      <c r="J30" s="91">
        <v>0</v>
      </c>
      <c r="K30" s="91">
        <v>37729</v>
      </c>
      <c r="L30" s="91">
        <v>35922</v>
      </c>
      <c r="M30" s="91">
        <v>35962</v>
      </c>
      <c r="N30" s="91">
        <v>37671</v>
      </c>
      <c r="O30" s="91">
        <v>0</v>
      </c>
      <c r="P30" s="91">
        <v>1153</v>
      </c>
      <c r="Q30" s="91">
        <v>0</v>
      </c>
      <c r="R30" s="91">
        <v>0</v>
      </c>
      <c r="S30" s="91">
        <v>-585</v>
      </c>
      <c r="T30" s="91">
        <v>6524</v>
      </c>
      <c r="U30" s="91">
        <v>0</v>
      </c>
      <c r="V30" s="202">
        <v>0</v>
      </c>
      <c r="W30" s="91">
        <v>-585</v>
      </c>
      <c r="X30" s="91">
        <v>0</v>
      </c>
      <c r="Y30" s="91">
        <v>0</v>
      </c>
      <c r="Z30" s="91">
        <v>0</v>
      </c>
      <c r="AA30" s="91">
        <v>0</v>
      </c>
      <c r="AB30" s="91">
        <v>0</v>
      </c>
      <c r="AC30" s="91">
        <v>0</v>
      </c>
      <c r="AD30" s="91">
        <v>0</v>
      </c>
      <c r="AE30" s="91">
        <v>0</v>
      </c>
      <c r="AF30" s="91">
        <v>0</v>
      </c>
      <c r="AG30" s="91">
        <v>0</v>
      </c>
      <c r="AH30" s="84">
        <v>1</v>
      </c>
      <c r="AI30" s="97">
        <f t="shared" si="0"/>
        <v>-5956</v>
      </c>
    </row>
    <row r="31" spans="1:35" ht="22.5">
      <c r="A31" s="55" t="s">
        <v>196</v>
      </c>
      <c r="B31" s="91">
        <v>0</v>
      </c>
      <c r="C31" s="91">
        <v>0</v>
      </c>
      <c r="D31" s="91">
        <v>16</v>
      </c>
      <c r="E31" s="90">
        <v>17</v>
      </c>
      <c r="F31" s="91">
        <v>48602</v>
      </c>
      <c r="G31" s="91">
        <v>43774</v>
      </c>
      <c r="H31" s="91">
        <v>6311</v>
      </c>
      <c r="I31" s="91">
        <v>1181.8900000000008</v>
      </c>
      <c r="J31" s="91">
        <v>-1483</v>
      </c>
      <c r="K31" s="91">
        <v>51331</v>
      </c>
      <c r="L31" s="91">
        <v>45976</v>
      </c>
      <c r="M31" s="91">
        <v>44183</v>
      </c>
      <c r="N31" s="91">
        <v>53641</v>
      </c>
      <c r="O31" s="91">
        <v>5130</v>
      </c>
      <c r="P31" s="91">
        <v>1428</v>
      </c>
      <c r="Q31" s="91">
        <v>0</v>
      </c>
      <c r="R31" s="91">
        <v>0</v>
      </c>
      <c r="S31" s="91">
        <v>-1730</v>
      </c>
      <c r="T31" s="91">
        <v>0</v>
      </c>
      <c r="U31" s="91">
        <v>0</v>
      </c>
      <c r="V31" s="202">
        <v>0</v>
      </c>
      <c r="W31" s="91">
        <v>-247</v>
      </c>
      <c r="X31" s="91">
        <v>0</v>
      </c>
      <c r="Y31" s="91">
        <v>1483</v>
      </c>
      <c r="Z31" s="91">
        <v>0</v>
      </c>
      <c r="AA31" s="91">
        <v>0</v>
      </c>
      <c r="AB31" s="91">
        <v>-247</v>
      </c>
      <c r="AC31" s="91">
        <v>-247</v>
      </c>
      <c r="AD31" s="91">
        <v>-247</v>
      </c>
      <c r="AE31" s="91">
        <v>-247</v>
      </c>
      <c r="AF31" s="91">
        <v>-247</v>
      </c>
      <c r="AG31" s="91">
        <v>-248</v>
      </c>
      <c r="AH31" s="84">
        <v>7</v>
      </c>
      <c r="AI31" s="97">
        <f t="shared" si="0"/>
        <v>4828</v>
      </c>
    </row>
    <row r="32" spans="1:35">
      <c r="A32" s="55" t="s">
        <v>197</v>
      </c>
      <c r="B32" s="91">
        <v>0</v>
      </c>
      <c r="C32" s="91">
        <v>0</v>
      </c>
      <c r="D32" s="91">
        <v>2</v>
      </c>
      <c r="E32" s="90">
        <v>3</v>
      </c>
      <c r="F32" s="91">
        <v>3194</v>
      </c>
      <c r="G32" s="91">
        <v>2787</v>
      </c>
      <c r="H32" s="91">
        <v>540</v>
      </c>
      <c r="I32" s="91">
        <v>0</v>
      </c>
      <c r="J32" s="91">
        <v>-133</v>
      </c>
      <c r="K32" s="91">
        <v>3402</v>
      </c>
      <c r="L32" s="91">
        <v>2994</v>
      </c>
      <c r="M32" s="91">
        <v>2850</v>
      </c>
      <c r="N32" s="91">
        <v>3587</v>
      </c>
      <c r="O32" s="91">
        <v>458</v>
      </c>
      <c r="P32" s="91">
        <v>95</v>
      </c>
      <c r="Q32" s="91">
        <v>0</v>
      </c>
      <c r="R32" s="91">
        <v>0</v>
      </c>
      <c r="S32" s="91">
        <v>-146</v>
      </c>
      <c r="T32" s="91">
        <v>0</v>
      </c>
      <c r="U32" s="91">
        <v>0</v>
      </c>
      <c r="V32" s="202">
        <v>0</v>
      </c>
      <c r="W32" s="91">
        <v>-13</v>
      </c>
      <c r="X32" s="91">
        <v>0</v>
      </c>
      <c r="Y32" s="91">
        <v>133</v>
      </c>
      <c r="Z32" s="91">
        <v>0</v>
      </c>
      <c r="AA32" s="91">
        <v>0</v>
      </c>
      <c r="AB32" s="91">
        <v>-13</v>
      </c>
      <c r="AC32" s="91">
        <v>-13</v>
      </c>
      <c r="AD32" s="91">
        <v>-13</v>
      </c>
      <c r="AE32" s="91">
        <v>-13</v>
      </c>
      <c r="AF32" s="91">
        <v>-13</v>
      </c>
      <c r="AG32" s="91">
        <v>-68</v>
      </c>
      <c r="AH32" s="84">
        <v>11.5</v>
      </c>
      <c r="AI32" s="97">
        <f t="shared" si="0"/>
        <v>407</v>
      </c>
    </row>
    <row r="33" spans="1:35">
      <c r="A33" s="55" t="s">
        <v>198</v>
      </c>
      <c r="B33" s="91">
        <v>0</v>
      </c>
      <c r="C33" s="91">
        <v>0</v>
      </c>
      <c r="D33" s="91">
        <v>0</v>
      </c>
      <c r="E33" s="90">
        <v>0</v>
      </c>
      <c r="F33" s="91">
        <v>0</v>
      </c>
      <c r="G33" s="91">
        <v>0</v>
      </c>
      <c r="H33" s="91">
        <v>0</v>
      </c>
      <c r="I33" s="91">
        <v>0</v>
      </c>
      <c r="J33" s="91">
        <v>0</v>
      </c>
      <c r="K33" s="91">
        <v>0</v>
      </c>
      <c r="L33" s="91">
        <v>0</v>
      </c>
      <c r="M33" s="91">
        <v>0</v>
      </c>
      <c r="N33" s="91">
        <v>0</v>
      </c>
      <c r="O33" s="91">
        <v>0</v>
      </c>
      <c r="P33" s="91">
        <v>0</v>
      </c>
      <c r="Q33" s="91">
        <v>0</v>
      </c>
      <c r="R33" s="91">
        <v>0</v>
      </c>
      <c r="S33" s="91">
        <v>0</v>
      </c>
      <c r="T33" s="91">
        <v>0</v>
      </c>
      <c r="U33" s="91">
        <v>0</v>
      </c>
      <c r="V33" s="202">
        <v>0</v>
      </c>
      <c r="W33" s="91">
        <v>0</v>
      </c>
      <c r="X33" s="91">
        <v>0</v>
      </c>
      <c r="Y33" s="91">
        <v>0</v>
      </c>
      <c r="Z33" s="91">
        <v>0</v>
      </c>
      <c r="AA33" s="91">
        <v>0</v>
      </c>
      <c r="AB33" s="91">
        <v>0</v>
      </c>
      <c r="AC33" s="91">
        <v>0</v>
      </c>
      <c r="AD33" s="91">
        <v>0</v>
      </c>
      <c r="AE33" s="91">
        <v>0</v>
      </c>
      <c r="AF33" s="91">
        <v>0</v>
      </c>
      <c r="AG33" s="91">
        <v>0</v>
      </c>
      <c r="AH33" s="84">
        <v>1</v>
      </c>
      <c r="AI33" s="97">
        <f t="shared" si="0"/>
        <v>0</v>
      </c>
    </row>
    <row r="34" spans="1:35">
      <c r="A34" s="55" t="s">
        <v>199</v>
      </c>
      <c r="B34" s="91">
        <v>0</v>
      </c>
      <c r="C34" s="91">
        <v>0</v>
      </c>
      <c r="D34" s="91">
        <v>10</v>
      </c>
      <c r="E34" s="90">
        <v>10</v>
      </c>
      <c r="F34" s="91">
        <v>32548</v>
      </c>
      <c r="G34" s="91">
        <v>30552</v>
      </c>
      <c r="H34" s="91">
        <v>3562</v>
      </c>
      <c r="I34" s="91">
        <v>88.87</v>
      </c>
      <c r="J34" s="91">
        <v>-1566</v>
      </c>
      <c r="K34" s="91">
        <v>35322</v>
      </c>
      <c r="L34" s="91">
        <v>29986</v>
      </c>
      <c r="M34" s="91">
        <v>28314</v>
      </c>
      <c r="N34" s="91">
        <v>37654</v>
      </c>
      <c r="O34" s="91">
        <v>2748</v>
      </c>
      <c r="P34" s="91">
        <v>972</v>
      </c>
      <c r="Q34" s="91">
        <v>0</v>
      </c>
      <c r="R34" s="91">
        <v>0</v>
      </c>
      <c r="S34" s="91">
        <v>-1724</v>
      </c>
      <c r="T34" s="91">
        <v>0</v>
      </c>
      <c r="U34" s="91">
        <v>0</v>
      </c>
      <c r="V34" s="202">
        <v>0</v>
      </c>
      <c r="W34" s="91">
        <v>-158</v>
      </c>
      <c r="X34" s="91">
        <v>0</v>
      </c>
      <c r="Y34" s="91">
        <v>1566</v>
      </c>
      <c r="Z34" s="91">
        <v>0</v>
      </c>
      <c r="AA34" s="91">
        <v>0</v>
      </c>
      <c r="AB34" s="91">
        <v>-158</v>
      </c>
      <c r="AC34" s="91">
        <v>-158</v>
      </c>
      <c r="AD34" s="91">
        <v>-158</v>
      </c>
      <c r="AE34" s="91">
        <v>-158</v>
      </c>
      <c r="AF34" s="91">
        <v>-158</v>
      </c>
      <c r="AG34" s="91">
        <v>-776</v>
      </c>
      <c r="AH34" s="84">
        <v>10.9</v>
      </c>
      <c r="AI34" s="97">
        <f t="shared" si="0"/>
        <v>1996</v>
      </c>
    </row>
    <row r="35" spans="1:35">
      <c r="A35" s="55" t="s">
        <v>200</v>
      </c>
      <c r="B35" s="91">
        <v>0</v>
      </c>
      <c r="C35" s="91">
        <v>0</v>
      </c>
      <c r="D35" s="91">
        <v>3</v>
      </c>
      <c r="E35" s="90">
        <v>4</v>
      </c>
      <c r="F35" s="91">
        <v>13562</v>
      </c>
      <c r="G35" s="91">
        <v>13406</v>
      </c>
      <c r="H35" s="91">
        <v>1137</v>
      </c>
      <c r="I35" s="91">
        <v>0</v>
      </c>
      <c r="J35" s="91">
        <v>-981</v>
      </c>
      <c r="K35" s="91">
        <v>15263</v>
      </c>
      <c r="L35" s="91">
        <v>12002</v>
      </c>
      <c r="M35" s="91">
        <v>11239</v>
      </c>
      <c r="N35" s="91">
        <v>16424</v>
      </c>
      <c r="O35" s="91">
        <v>815</v>
      </c>
      <c r="P35" s="91">
        <v>415</v>
      </c>
      <c r="Q35" s="91">
        <v>0</v>
      </c>
      <c r="R35" s="91">
        <v>0</v>
      </c>
      <c r="S35" s="91">
        <v>-1074</v>
      </c>
      <c r="T35" s="91">
        <v>0</v>
      </c>
      <c r="U35" s="91">
        <v>0</v>
      </c>
      <c r="V35" s="202">
        <v>0</v>
      </c>
      <c r="W35" s="91">
        <v>-93</v>
      </c>
      <c r="X35" s="91">
        <v>0</v>
      </c>
      <c r="Y35" s="91">
        <v>981</v>
      </c>
      <c r="Z35" s="91">
        <v>0</v>
      </c>
      <c r="AA35" s="91">
        <v>0</v>
      </c>
      <c r="AB35" s="91">
        <v>-93</v>
      </c>
      <c r="AC35" s="91">
        <v>-93</v>
      </c>
      <c r="AD35" s="91">
        <v>-93</v>
      </c>
      <c r="AE35" s="91">
        <v>-93</v>
      </c>
      <c r="AF35" s="91">
        <v>-93</v>
      </c>
      <c r="AG35" s="91">
        <v>-516</v>
      </c>
      <c r="AH35" s="84">
        <v>11.5</v>
      </c>
      <c r="AI35" s="97">
        <f t="shared" si="0"/>
        <v>156</v>
      </c>
    </row>
    <row r="36" spans="1:35" ht="22.5">
      <c r="A36" s="55" t="s">
        <v>201</v>
      </c>
      <c r="B36" s="91">
        <v>0</v>
      </c>
      <c r="C36" s="91">
        <v>0</v>
      </c>
      <c r="D36" s="91">
        <v>7</v>
      </c>
      <c r="E36" s="90">
        <v>10</v>
      </c>
      <c r="F36" s="91">
        <v>3669</v>
      </c>
      <c r="G36" s="91">
        <v>3022</v>
      </c>
      <c r="H36" s="91">
        <v>986</v>
      </c>
      <c r="I36" s="91">
        <v>0</v>
      </c>
      <c r="J36" s="91">
        <v>-339</v>
      </c>
      <c r="K36" s="91">
        <v>4228</v>
      </c>
      <c r="L36" s="91">
        <v>3149</v>
      </c>
      <c r="M36" s="91">
        <v>2854</v>
      </c>
      <c r="N36" s="91">
        <v>4652</v>
      </c>
      <c r="O36" s="91">
        <v>905</v>
      </c>
      <c r="P36" s="91">
        <v>115</v>
      </c>
      <c r="Q36" s="91">
        <v>0</v>
      </c>
      <c r="R36" s="91">
        <v>0</v>
      </c>
      <c r="S36" s="91">
        <v>-373</v>
      </c>
      <c r="T36" s="91">
        <v>0</v>
      </c>
      <c r="U36" s="91">
        <v>0</v>
      </c>
      <c r="V36" s="202">
        <v>0</v>
      </c>
      <c r="W36" s="91">
        <v>-34</v>
      </c>
      <c r="X36" s="91">
        <v>0</v>
      </c>
      <c r="Y36" s="91">
        <v>339</v>
      </c>
      <c r="Z36" s="91">
        <v>0</v>
      </c>
      <c r="AA36" s="91">
        <v>0</v>
      </c>
      <c r="AB36" s="91">
        <v>-34</v>
      </c>
      <c r="AC36" s="91">
        <v>-34</v>
      </c>
      <c r="AD36" s="91">
        <v>-34</v>
      </c>
      <c r="AE36" s="91">
        <v>-34</v>
      </c>
      <c r="AF36" s="91">
        <v>-34</v>
      </c>
      <c r="AG36" s="91">
        <v>-169</v>
      </c>
      <c r="AH36" s="84">
        <v>11.1</v>
      </c>
      <c r="AI36" s="97">
        <f t="shared" si="0"/>
        <v>647</v>
      </c>
    </row>
    <row r="37" spans="1:35">
      <c r="A37" s="55" t="s">
        <v>202</v>
      </c>
      <c r="B37" s="91">
        <v>0</v>
      </c>
      <c r="C37" s="91">
        <v>0</v>
      </c>
      <c r="D37" s="91">
        <v>48</v>
      </c>
      <c r="E37" s="90">
        <v>55</v>
      </c>
      <c r="F37" s="91">
        <v>83057</v>
      </c>
      <c r="G37" s="91">
        <v>74243</v>
      </c>
      <c r="H37" s="91">
        <v>11954</v>
      </c>
      <c r="I37" s="91">
        <v>764.25000000000045</v>
      </c>
      <c r="J37" s="91">
        <v>-3140</v>
      </c>
      <c r="K37" s="91">
        <v>88625</v>
      </c>
      <c r="L37" s="91">
        <v>77722</v>
      </c>
      <c r="M37" s="91">
        <v>74126</v>
      </c>
      <c r="N37" s="91">
        <v>93563</v>
      </c>
      <c r="O37" s="91">
        <v>9881</v>
      </c>
      <c r="P37" s="91">
        <v>2456</v>
      </c>
      <c r="Q37" s="91">
        <v>0</v>
      </c>
      <c r="R37" s="91">
        <v>0</v>
      </c>
      <c r="S37" s="91">
        <v>-3523</v>
      </c>
      <c r="T37" s="91">
        <v>0</v>
      </c>
      <c r="U37" s="91">
        <v>0</v>
      </c>
      <c r="V37" s="202">
        <v>0</v>
      </c>
      <c r="W37" s="91">
        <v>-383</v>
      </c>
      <c r="X37" s="91">
        <v>0</v>
      </c>
      <c r="Y37" s="91">
        <v>3140</v>
      </c>
      <c r="Z37" s="91">
        <v>0</v>
      </c>
      <c r="AA37" s="91">
        <v>0</v>
      </c>
      <c r="AB37" s="91">
        <v>-383</v>
      </c>
      <c r="AC37" s="91">
        <v>-383</v>
      </c>
      <c r="AD37" s="91">
        <v>-383</v>
      </c>
      <c r="AE37" s="91">
        <v>-383</v>
      </c>
      <c r="AF37" s="91">
        <v>-383</v>
      </c>
      <c r="AG37" s="91">
        <v>-1225</v>
      </c>
      <c r="AH37" s="84">
        <v>9.1999999999999993</v>
      </c>
      <c r="AI37" s="97">
        <f t="shared" si="0"/>
        <v>8814</v>
      </c>
    </row>
    <row r="38" spans="1:35">
      <c r="A38" s="55" t="s">
        <v>203</v>
      </c>
      <c r="B38" s="91">
        <v>0</v>
      </c>
      <c r="C38" s="91">
        <v>0</v>
      </c>
      <c r="D38" s="91">
        <v>1</v>
      </c>
      <c r="E38" s="90">
        <v>1</v>
      </c>
      <c r="F38" s="91">
        <v>2666</v>
      </c>
      <c r="G38" s="91">
        <v>2160</v>
      </c>
      <c r="H38" s="91">
        <v>509</v>
      </c>
      <c r="I38" s="91">
        <v>212.73999999999995</v>
      </c>
      <c r="J38" s="91">
        <v>-3</v>
      </c>
      <c r="K38" s="91">
        <v>2679</v>
      </c>
      <c r="L38" s="91">
        <v>2648</v>
      </c>
      <c r="M38" s="91">
        <v>2577</v>
      </c>
      <c r="N38" s="91">
        <v>2755</v>
      </c>
      <c r="O38" s="91">
        <v>437</v>
      </c>
      <c r="P38" s="91">
        <v>76</v>
      </c>
      <c r="Q38" s="91">
        <v>0</v>
      </c>
      <c r="R38" s="91">
        <v>0</v>
      </c>
      <c r="S38" s="91">
        <v>-7</v>
      </c>
      <c r="T38" s="91">
        <v>0</v>
      </c>
      <c r="U38" s="91">
        <v>0</v>
      </c>
      <c r="V38" s="202">
        <v>0</v>
      </c>
      <c r="W38" s="91">
        <v>-4</v>
      </c>
      <c r="X38" s="91">
        <v>0</v>
      </c>
      <c r="Y38" s="91">
        <v>3</v>
      </c>
      <c r="Z38" s="91">
        <v>0</v>
      </c>
      <c r="AA38" s="91">
        <v>0</v>
      </c>
      <c r="AB38" s="91">
        <v>-3</v>
      </c>
      <c r="AC38" s="91">
        <v>0</v>
      </c>
      <c r="AD38" s="91">
        <v>0</v>
      </c>
      <c r="AE38" s="91">
        <v>0</v>
      </c>
      <c r="AF38" s="91">
        <v>0</v>
      </c>
      <c r="AG38" s="91">
        <v>0</v>
      </c>
      <c r="AH38" s="84">
        <v>1.9</v>
      </c>
      <c r="AI38" s="97">
        <f t="shared" si="0"/>
        <v>506</v>
      </c>
    </row>
    <row r="39" spans="1:35">
      <c r="A39" s="55" t="s">
        <v>204</v>
      </c>
      <c r="B39" s="91">
        <v>0</v>
      </c>
      <c r="C39" s="91">
        <v>0</v>
      </c>
      <c r="D39" s="91">
        <v>10</v>
      </c>
      <c r="E39" s="90">
        <v>14</v>
      </c>
      <c r="F39" s="91">
        <v>13345</v>
      </c>
      <c r="G39" s="91">
        <v>12169</v>
      </c>
      <c r="H39" s="91">
        <v>1751</v>
      </c>
      <c r="I39" s="91">
        <v>141.13</v>
      </c>
      <c r="J39" s="91">
        <v>-575</v>
      </c>
      <c r="K39" s="91">
        <v>14425</v>
      </c>
      <c r="L39" s="91">
        <v>12286</v>
      </c>
      <c r="M39" s="91">
        <v>11615</v>
      </c>
      <c r="N39" s="91">
        <v>15322</v>
      </c>
      <c r="O39" s="91">
        <v>1444</v>
      </c>
      <c r="P39" s="91">
        <v>397</v>
      </c>
      <c r="Q39" s="91">
        <v>0</v>
      </c>
      <c r="R39" s="91">
        <v>0</v>
      </c>
      <c r="S39" s="91">
        <v>-665</v>
      </c>
      <c r="T39" s="91">
        <v>0</v>
      </c>
      <c r="U39" s="91">
        <v>0</v>
      </c>
      <c r="V39" s="202">
        <v>0</v>
      </c>
      <c r="W39" s="91">
        <v>-90</v>
      </c>
      <c r="X39" s="91">
        <v>0</v>
      </c>
      <c r="Y39" s="91">
        <v>575</v>
      </c>
      <c r="Z39" s="91">
        <v>0</v>
      </c>
      <c r="AA39" s="91">
        <v>0</v>
      </c>
      <c r="AB39" s="91">
        <v>-90</v>
      </c>
      <c r="AC39" s="91">
        <v>-90</v>
      </c>
      <c r="AD39" s="91">
        <v>-90</v>
      </c>
      <c r="AE39" s="91">
        <v>-90</v>
      </c>
      <c r="AF39" s="91">
        <v>-90</v>
      </c>
      <c r="AG39" s="91">
        <v>-125</v>
      </c>
      <c r="AH39" s="84">
        <v>7.4</v>
      </c>
      <c r="AI39" s="97">
        <f t="shared" si="0"/>
        <v>1176</v>
      </c>
    </row>
    <row r="40" spans="1:35">
      <c r="A40" s="55" t="s">
        <v>205</v>
      </c>
      <c r="B40" s="91">
        <v>0</v>
      </c>
      <c r="C40" s="91">
        <v>0</v>
      </c>
      <c r="D40" s="91">
        <v>0</v>
      </c>
      <c r="E40" s="90">
        <v>0</v>
      </c>
      <c r="F40" s="91">
        <v>0</v>
      </c>
      <c r="G40" s="91">
        <v>0</v>
      </c>
      <c r="H40" s="91">
        <v>0</v>
      </c>
      <c r="I40" s="91">
        <v>0</v>
      </c>
      <c r="J40" s="91">
        <v>0</v>
      </c>
      <c r="K40" s="91">
        <v>0</v>
      </c>
      <c r="L40" s="91">
        <v>0</v>
      </c>
      <c r="M40" s="91">
        <v>0</v>
      </c>
      <c r="N40" s="91">
        <v>0</v>
      </c>
      <c r="O40" s="91">
        <v>0</v>
      </c>
      <c r="P40" s="91">
        <v>0</v>
      </c>
      <c r="Q40" s="91">
        <v>0</v>
      </c>
      <c r="R40" s="91">
        <v>0</v>
      </c>
      <c r="S40" s="91">
        <v>0</v>
      </c>
      <c r="T40" s="91">
        <v>0</v>
      </c>
      <c r="U40" s="91">
        <v>0</v>
      </c>
      <c r="V40" s="202">
        <v>0</v>
      </c>
      <c r="W40" s="91">
        <v>0</v>
      </c>
      <c r="X40" s="91">
        <v>0</v>
      </c>
      <c r="Y40" s="91">
        <v>0</v>
      </c>
      <c r="Z40" s="91">
        <v>0</v>
      </c>
      <c r="AA40" s="91">
        <v>0</v>
      </c>
      <c r="AB40" s="91">
        <v>0</v>
      </c>
      <c r="AC40" s="91">
        <v>0</v>
      </c>
      <c r="AD40" s="91">
        <v>0</v>
      </c>
      <c r="AE40" s="91">
        <v>0</v>
      </c>
      <c r="AF40" s="91">
        <v>0</v>
      </c>
      <c r="AG40" s="91">
        <v>0</v>
      </c>
      <c r="AH40" s="84">
        <v>1</v>
      </c>
      <c r="AI40" s="97">
        <f t="shared" si="0"/>
        <v>0</v>
      </c>
    </row>
    <row r="41" spans="1:35">
      <c r="A41" s="55" t="s">
        <v>206</v>
      </c>
      <c r="B41" s="91">
        <v>0</v>
      </c>
      <c r="C41" s="91">
        <v>0</v>
      </c>
      <c r="D41" s="91">
        <v>0</v>
      </c>
      <c r="E41" s="90">
        <v>0</v>
      </c>
      <c r="F41" s="91">
        <v>0</v>
      </c>
      <c r="G41" s="91">
        <v>0</v>
      </c>
      <c r="H41" s="91">
        <v>0</v>
      </c>
      <c r="I41" s="91">
        <v>0</v>
      </c>
      <c r="J41" s="91">
        <v>0</v>
      </c>
      <c r="K41" s="91">
        <v>0</v>
      </c>
      <c r="L41" s="91">
        <v>0</v>
      </c>
      <c r="M41" s="91">
        <v>0</v>
      </c>
      <c r="N41" s="91">
        <v>0</v>
      </c>
      <c r="O41" s="91">
        <v>0</v>
      </c>
      <c r="P41" s="91">
        <v>0</v>
      </c>
      <c r="Q41" s="91">
        <v>0</v>
      </c>
      <c r="R41" s="91">
        <v>0</v>
      </c>
      <c r="S41" s="91">
        <v>0</v>
      </c>
      <c r="T41" s="91">
        <v>0</v>
      </c>
      <c r="U41" s="91">
        <v>0</v>
      </c>
      <c r="V41" s="202">
        <v>0</v>
      </c>
      <c r="W41" s="91">
        <v>0</v>
      </c>
      <c r="X41" s="91">
        <v>0</v>
      </c>
      <c r="Y41" s="91">
        <v>0</v>
      </c>
      <c r="Z41" s="91">
        <v>0</v>
      </c>
      <c r="AA41" s="91">
        <v>0</v>
      </c>
      <c r="AB41" s="91">
        <v>0</v>
      </c>
      <c r="AC41" s="91">
        <v>0</v>
      </c>
      <c r="AD41" s="91">
        <v>0</v>
      </c>
      <c r="AE41" s="91">
        <v>0</v>
      </c>
      <c r="AF41" s="91">
        <v>0</v>
      </c>
      <c r="AG41" s="91">
        <v>0</v>
      </c>
      <c r="AH41" s="84">
        <v>1</v>
      </c>
      <c r="AI41" s="97">
        <f t="shared" si="0"/>
        <v>0</v>
      </c>
    </row>
    <row r="42" spans="1:35">
      <c r="A42" s="55" t="s">
        <v>207</v>
      </c>
      <c r="B42" s="91">
        <v>0</v>
      </c>
      <c r="C42" s="91">
        <v>0</v>
      </c>
      <c r="D42" s="91">
        <v>6</v>
      </c>
      <c r="E42" s="90">
        <v>6</v>
      </c>
      <c r="F42" s="91">
        <v>19610</v>
      </c>
      <c r="G42" s="91">
        <v>17770</v>
      </c>
      <c r="H42" s="91">
        <v>2662</v>
      </c>
      <c r="I42" s="91">
        <v>446.13999999999987</v>
      </c>
      <c r="J42" s="91">
        <v>-822</v>
      </c>
      <c r="K42" s="91">
        <v>21118</v>
      </c>
      <c r="L42" s="91">
        <v>18201</v>
      </c>
      <c r="M42" s="91">
        <v>17343</v>
      </c>
      <c r="N42" s="91">
        <v>22261</v>
      </c>
      <c r="O42" s="91">
        <v>2200</v>
      </c>
      <c r="P42" s="91">
        <v>583</v>
      </c>
      <c r="Q42" s="91">
        <v>0</v>
      </c>
      <c r="R42" s="91">
        <v>0</v>
      </c>
      <c r="S42" s="91">
        <v>-943</v>
      </c>
      <c r="T42" s="91">
        <v>0</v>
      </c>
      <c r="U42" s="91">
        <v>0</v>
      </c>
      <c r="V42" s="202">
        <v>0</v>
      </c>
      <c r="W42" s="91">
        <v>-121</v>
      </c>
      <c r="X42" s="91">
        <v>0</v>
      </c>
      <c r="Y42" s="91">
        <v>822</v>
      </c>
      <c r="Z42" s="91">
        <v>0</v>
      </c>
      <c r="AA42" s="91">
        <v>0</v>
      </c>
      <c r="AB42" s="91">
        <v>-121</v>
      </c>
      <c r="AC42" s="91">
        <v>-121</v>
      </c>
      <c r="AD42" s="91">
        <v>-121</v>
      </c>
      <c r="AE42" s="91">
        <v>-121</v>
      </c>
      <c r="AF42" s="91">
        <v>-121</v>
      </c>
      <c r="AG42" s="91">
        <v>-217</v>
      </c>
      <c r="AH42" s="84">
        <v>7.8</v>
      </c>
      <c r="AI42" s="97">
        <f t="shared" si="0"/>
        <v>1840</v>
      </c>
    </row>
    <row r="43" spans="1:35" ht="22.5">
      <c r="A43" s="55" t="s">
        <v>208</v>
      </c>
      <c r="B43" s="91">
        <v>0</v>
      </c>
      <c r="C43" s="91">
        <v>0</v>
      </c>
      <c r="D43" s="91">
        <v>1</v>
      </c>
      <c r="E43" s="90">
        <v>1</v>
      </c>
      <c r="F43" s="91">
        <v>1167</v>
      </c>
      <c r="G43" s="91">
        <v>1079</v>
      </c>
      <c r="H43" s="91">
        <v>177</v>
      </c>
      <c r="I43" s="91">
        <v>0</v>
      </c>
      <c r="J43" s="91">
        <v>-89</v>
      </c>
      <c r="K43" s="91">
        <v>1332</v>
      </c>
      <c r="L43" s="91">
        <v>1019</v>
      </c>
      <c r="M43" s="91">
        <v>924</v>
      </c>
      <c r="N43" s="91">
        <v>1469</v>
      </c>
      <c r="O43" s="91">
        <v>148</v>
      </c>
      <c r="P43" s="91">
        <v>36</v>
      </c>
      <c r="Q43" s="91">
        <v>0</v>
      </c>
      <c r="R43" s="91">
        <v>0</v>
      </c>
      <c r="S43" s="91">
        <v>-96</v>
      </c>
      <c r="T43" s="91">
        <v>0</v>
      </c>
      <c r="U43" s="91">
        <v>0</v>
      </c>
      <c r="V43" s="202">
        <v>0</v>
      </c>
      <c r="W43" s="91">
        <v>-7</v>
      </c>
      <c r="X43" s="91">
        <v>0</v>
      </c>
      <c r="Y43" s="91">
        <v>89</v>
      </c>
      <c r="Z43" s="91">
        <v>0</v>
      </c>
      <c r="AA43" s="91">
        <v>0</v>
      </c>
      <c r="AB43" s="91">
        <v>-7</v>
      </c>
      <c r="AC43" s="91">
        <v>-7</v>
      </c>
      <c r="AD43" s="91">
        <v>-7</v>
      </c>
      <c r="AE43" s="91">
        <v>-7</v>
      </c>
      <c r="AF43" s="91">
        <v>-7</v>
      </c>
      <c r="AG43" s="91">
        <v>-54</v>
      </c>
      <c r="AH43" s="84">
        <v>14.2</v>
      </c>
      <c r="AI43" s="97">
        <f t="shared" si="0"/>
        <v>88</v>
      </c>
    </row>
    <row r="44" spans="1:35">
      <c r="A44" s="55" t="s">
        <v>209</v>
      </c>
      <c r="B44" s="91">
        <v>0</v>
      </c>
      <c r="C44" s="91">
        <v>0</v>
      </c>
      <c r="D44" s="91">
        <v>0</v>
      </c>
      <c r="E44" s="90">
        <v>0</v>
      </c>
      <c r="F44" s="91">
        <v>0</v>
      </c>
      <c r="G44" s="91">
        <v>0</v>
      </c>
      <c r="H44" s="91">
        <v>0</v>
      </c>
      <c r="I44" s="91">
        <v>0</v>
      </c>
      <c r="J44" s="91">
        <v>0</v>
      </c>
      <c r="K44" s="91">
        <v>0</v>
      </c>
      <c r="L44" s="91">
        <v>0</v>
      </c>
      <c r="M44" s="91">
        <v>0</v>
      </c>
      <c r="N44" s="91">
        <v>0</v>
      </c>
      <c r="O44" s="91">
        <v>0</v>
      </c>
      <c r="P44" s="91">
        <v>0</v>
      </c>
      <c r="Q44" s="91">
        <v>0</v>
      </c>
      <c r="R44" s="91">
        <v>0</v>
      </c>
      <c r="S44" s="91">
        <v>0</v>
      </c>
      <c r="T44" s="91">
        <v>0</v>
      </c>
      <c r="U44" s="91">
        <v>0</v>
      </c>
      <c r="V44" s="202">
        <v>0</v>
      </c>
      <c r="W44" s="91">
        <v>0</v>
      </c>
      <c r="X44" s="91">
        <v>0</v>
      </c>
      <c r="Y44" s="91">
        <v>0</v>
      </c>
      <c r="Z44" s="91">
        <v>0</v>
      </c>
      <c r="AA44" s="91">
        <v>0</v>
      </c>
      <c r="AB44" s="91">
        <v>0</v>
      </c>
      <c r="AC44" s="91">
        <v>0</v>
      </c>
      <c r="AD44" s="91">
        <v>0</v>
      </c>
      <c r="AE44" s="91">
        <v>0</v>
      </c>
      <c r="AF44" s="91">
        <v>0</v>
      </c>
      <c r="AG44" s="91">
        <v>0</v>
      </c>
      <c r="AH44" s="84">
        <v>1</v>
      </c>
      <c r="AI44" s="97">
        <f t="shared" si="0"/>
        <v>0</v>
      </c>
    </row>
    <row r="45" spans="1:35">
      <c r="A45" s="55" t="s">
        <v>210</v>
      </c>
      <c r="B45" s="91">
        <v>0</v>
      </c>
      <c r="C45" s="91">
        <v>0</v>
      </c>
      <c r="D45" s="91">
        <v>0</v>
      </c>
      <c r="E45" s="90">
        <v>0</v>
      </c>
      <c r="F45" s="91">
        <v>0</v>
      </c>
      <c r="G45" s="91">
        <v>0</v>
      </c>
      <c r="H45" s="91">
        <v>0</v>
      </c>
      <c r="I45" s="91">
        <v>0</v>
      </c>
      <c r="J45" s="91">
        <v>0</v>
      </c>
      <c r="K45" s="91">
        <v>0</v>
      </c>
      <c r="L45" s="91">
        <v>0</v>
      </c>
      <c r="M45" s="91">
        <v>0</v>
      </c>
      <c r="N45" s="91">
        <v>0</v>
      </c>
      <c r="O45" s="91">
        <v>0</v>
      </c>
      <c r="P45" s="91">
        <v>0</v>
      </c>
      <c r="Q45" s="91">
        <v>0</v>
      </c>
      <c r="R45" s="91">
        <v>0</v>
      </c>
      <c r="S45" s="91">
        <v>0</v>
      </c>
      <c r="T45" s="91">
        <v>0</v>
      </c>
      <c r="U45" s="91">
        <v>0</v>
      </c>
      <c r="V45" s="202">
        <v>0</v>
      </c>
      <c r="W45" s="91">
        <v>0</v>
      </c>
      <c r="X45" s="91">
        <v>0</v>
      </c>
      <c r="Y45" s="91">
        <v>0</v>
      </c>
      <c r="Z45" s="91">
        <v>0</v>
      </c>
      <c r="AA45" s="91">
        <v>0</v>
      </c>
      <c r="AB45" s="91">
        <v>0</v>
      </c>
      <c r="AC45" s="91">
        <v>0</v>
      </c>
      <c r="AD45" s="91">
        <v>0</v>
      </c>
      <c r="AE45" s="91">
        <v>0</v>
      </c>
      <c r="AF45" s="91">
        <v>0</v>
      </c>
      <c r="AG45" s="91">
        <v>0</v>
      </c>
      <c r="AH45" s="84">
        <v>1</v>
      </c>
      <c r="AI45" s="97">
        <f t="shared" si="0"/>
        <v>0</v>
      </c>
    </row>
    <row r="46" spans="1:35">
      <c r="A46" s="55" t="s">
        <v>211</v>
      </c>
      <c r="B46" s="91">
        <v>0</v>
      </c>
      <c r="C46" s="91">
        <v>0</v>
      </c>
      <c r="D46" s="91">
        <v>0</v>
      </c>
      <c r="E46" s="90">
        <v>0</v>
      </c>
      <c r="F46" s="91">
        <v>0</v>
      </c>
      <c r="G46" s="91">
        <v>0</v>
      </c>
      <c r="H46" s="91">
        <v>0</v>
      </c>
      <c r="I46" s="91">
        <v>0</v>
      </c>
      <c r="J46" s="91">
        <v>0</v>
      </c>
      <c r="K46" s="91">
        <v>0</v>
      </c>
      <c r="L46" s="91">
        <v>0</v>
      </c>
      <c r="M46" s="91">
        <v>0</v>
      </c>
      <c r="N46" s="91">
        <v>0</v>
      </c>
      <c r="O46" s="91">
        <v>0</v>
      </c>
      <c r="P46" s="91">
        <v>0</v>
      </c>
      <c r="Q46" s="91">
        <v>0</v>
      </c>
      <c r="R46" s="91">
        <v>0</v>
      </c>
      <c r="S46" s="91">
        <v>0</v>
      </c>
      <c r="T46" s="91">
        <v>0</v>
      </c>
      <c r="U46" s="91">
        <v>0</v>
      </c>
      <c r="V46" s="202">
        <v>0</v>
      </c>
      <c r="W46" s="91">
        <v>0</v>
      </c>
      <c r="X46" s="91">
        <v>0</v>
      </c>
      <c r="Y46" s="91">
        <v>0</v>
      </c>
      <c r="Z46" s="91">
        <v>0</v>
      </c>
      <c r="AA46" s="91">
        <v>0</v>
      </c>
      <c r="AB46" s="91">
        <v>0</v>
      </c>
      <c r="AC46" s="91">
        <v>0</v>
      </c>
      <c r="AD46" s="91">
        <v>0</v>
      </c>
      <c r="AE46" s="91">
        <v>0</v>
      </c>
      <c r="AF46" s="91">
        <v>0</v>
      </c>
      <c r="AG46" s="91">
        <v>0</v>
      </c>
      <c r="AH46" s="84">
        <v>1</v>
      </c>
      <c r="AI46" s="97">
        <f t="shared" si="0"/>
        <v>0</v>
      </c>
    </row>
    <row r="47" spans="1:35">
      <c r="A47" s="55" t="s">
        <v>212</v>
      </c>
      <c r="B47" s="91">
        <v>0</v>
      </c>
      <c r="C47" s="91">
        <v>0</v>
      </c>
      <c r="D47" s="91">
        <v>280</v>
      </c>
      <c r="E47" s="90">
        <v>290</v>
      </c>
      <c r="F47" s="91">
        <v>249603</v>
      </c>
      <c r="G47" s="91">
        <v>217216</v>
      </c>
      <c r="H47" s="91">
        <v>45910</v>
      </c>
      <c r="I47" s="91">
        <v>1568.129999999996</v>
      </c>
      <c r="J47" s="91">
        <v>-13523</v>
      </c>
      <c r="K47" s="91">
        <v>273561</v>
      </c>
      <c r="L47" s="91">
        <v>227607</v>
      </c>
      <c r="M47" s="91">
        <v>213881</v>
      </c>
      <c r="N47" s="91">
        <v>293224</v>
      </c>
      <c r="O47" s="91">
        <v>40027</v>
      </c>
      <c r="P47" s="91">
        <v>7512</v>
      </c>
      <c r="Q47" s="91">
        <v>0</v>
      </c>
      <c r="R47" s="91">
        <v>0</v>
      </c>
      <c r="S47" s="91">
        <v>-15152</v>
      </c>
      <c r="T47" s="91">
        <v>0</v>
      </c>
      <c r="U47" s="91">
        <v>0</v>
      </c>
      <c r="V47" s="202">
        <v>0</v>
      </c>
      <c r="W47" s="91">
        <v>-1629</v>
      </c>
      <c r="X47" s="91">
        <v>0</v>
      </c>
      <c r="Y47" s="91">
        <v>13523</v>
      </c>
      <c r="Z47" s="91">
        <v>0</v>
      </c>
      <c r="AA47" s="91">
        <v>0</v>
      </c>
      <c r="AB47" s="91">
        <v>-1629</v>
      </c>
      <c r="AC47" s="91">
        <v>-1629</v>
      </c>
      <c r="AD47" s="91">
        <v>-1629</v>
      </c>
      <c r="AE47" s="91">
        <v>-1629</v>
      </c>
      <c r="AF47" s="91">
        <v>-1629</v>
      </c>
      <c r="AG47" s="91">
        <v>-5378</v>
      </c>
      <c r="AH47" s="84">
        <v>9.3000000000000007</v>
      </c>
      <c r="AI47" s="97">
        <f t="shared" si="0"/>
        <v>32387</v>
      </c>
    </row>
    <row r="48" spans="1:35">
      <c r="A48" s="55" t="s">
        <v>213</v>
      </c>
      <c r="B48" s="91">
        <v>0</v>
      </c>
      <c r="C48" s="91">
        <v>0</v>
      </c>
      <c r="D48" s="91">
        <v>0</v>
      </c>
      <c r="E48" s="90">
        <v>0</v>
      </c>
      <c r="F48" s="91">
        <v>0</v>
      </c>
      <c r="G48" s="91">
        <v>0</v>
      </c>
      <c r="H48" s="91">
        <v>0</v>
      </c>
      <c r="I48" s="91">
        <v>0</v>
      </c>
      <c r="J48" s="91">
        <v>0</v>
      </c>
      <c r="K48" s="91">
        <v>0</v>
      </c>
      <c r="L48" s="91">
        <v>0</v>
      </c>
      <c r="M48" s="91">
        <v>0</v>
      </c>
      <c r="N48" s="91">
        <v>0</v>
      </c>
      <c r="O48" s="91">
        <v>0</v>
      </c>
      <c r="P48" s="91">
        <v>0</v>
      </c>
      <c r="Q48" s="91">
        <v>0</v>
      </c>
      <c r="R48" s="91">
        <v>0</v>
      </c>
      <c r="S48" s="91">
        <v>0</v>
      </c>
      <c r="T48" s="91">
        <v>0</v>
      </c>
      <c r="U48" s="91">
        <v>0</v>
      </c>
      <c r="V48" s="202">
        <v>0</v>
      </c>
      <c r="W48" s="91">
        <v>0</v>
      </c>
      <c r="X48" s="91">
        <v>0</v>
      </c>
      <c r="Y48" s="91">
        <v>0</v>
      </c>
      <c r="Z48" s="91">
        <v>0</v>
      </c>
      <c r="AA48" s="91">
        <v>0</v>
      </c>
      <c r="AB48" s="91">
        <v>0</v>
      </c>
      <c r="AC48" s="91">
        <v>0</v>
      </c>
      <c r="AD48" s="91">
        <v>0</v>
      </c>
      <c r="AE48" s="91">
        <v>0</v>
      </c>
      <c r="AF48" s="91">
        <v>0</v>
      </c>
      <c r="AG48" s="91">
        <v>0</v>
      </c>
      <c r="AH48" s="84">
        <v>1</v>
      </c>
      <c r="AI48" s="97">
        <f t="shared" si="0"/>
        <v>0</v>
      </c>
    </row>
    <row r="49" spans="1:35">
      <c r="A49" s="55" t="s">
        <v>214</v>
      </c>
      <c r="B49" s="91">
        <v>0</v>
      </c>
      <c r="C49" s="91">
        <v>0</v>
      </c>
      <c r="D49" s="91">
        <v>9</v>
      </c>
      <c r="E49" s="90">
        <v>10</v>
      </c>
      <c r="F49" s="91">
        <v>15495</v>
      </c>
      <c r="G49" s="91">
        <v>13961</v>
      </c>
      <c r="H49" s="91">
        <v>2281</v>
      </c>
      <c r="I49" s="91">
        <v>159.44999999999993</v>
      </c>
      <c r="J49" s="91">
        <v>-747</v>
      </c>
      <c r="K49" s="91">
        <v>16811</v>
      </c>
      <c r="L49" s="91">
        <v>14237</v>
      </c>
      <c r="M49" s="91">
        <v>13673</v>
      </c>
      <c r="N49" s="91">
        <v>17596</v>
      </c>
      <c r="O49" s="91">
        <v>1929</v>
      </c>
      <c r="P49" s="91">
        <v>464</v>
      </c>
      <c r="Q49" s="91">
        <v>0</v>
      </c>
      <c r="R49" s="91">
        <v>0</v>
      </c>
      <c r="S49" s="91">
        <v>-859</v>
      </c>
      <c r="T49" s="91">
        <v>0</v>
      </c>
      <c r="U49" s="91">
        <v>0</v>
      </c>
      <c r="V49" s="202">
        <v>0</v>
      </c>
      <c r="W49" s="91">
        <v>-112</v>
      </c>
      <c r="X49" s="91">
        <v>0</v>
      </c>
      <c r="Y49" s="91">
        <v>747</v>
      </c>
      <c r="Z49" s="91">
        <v>0</v>
      </c>
      <c r="AA49" s="91">
        <v>0</v>
      </c>
      <c r="AB49" s="91">
        <v>-112</v>
      </c>
      <c r="AC49" s="91">
        <v>-112</v>
      </c>
      <c r="AD49" s="91">
        <v>-112</v>
      </c>
      <c r="AE49" s="91">
        <v>-112</v>
      </c>
      <c r="AF49" s="91">
        <v>-112</v>
      </c>
      <c r="AG49" s="91">
        <v>-187</v>
      </c>
      <c r="AH49" s="84">
        <v>7.7</v>
      </c>
      <c r="AI49" s="97">
        <f t="shared" si="0"/>
        <v>1534</v>
      </c>
    </row>
    <row r="50" spans="1:35">
      <c r="A50" s="55" t="s">
        <v>215</v>
      </c>
      <c r="B50" s="91">
        <v>0</v>
      </c>
      <c r="C50" s="91">
        <v>0</v>
      </c>
      <c r="D50" s="91">
        <v>0</v>
      </c>
      <c r="E50" s="90">
        <v>0</v>
      </c>
      <c r="F50" s="91">
        <v>0</v>
      </c>
      <c r="G50" s="91">
        <v>0</v>
      </c>
      <c r="H50" s="91">
        <v>0</v>
      </c>
      <c r="I50" s="91">
        <v>0</v>
      </c>
      <c r="J50" s="91">
        <v>0</v>
      </c>
      <c r="K50" s="91">
        <v>0</v>
      </c>
      <c r="L50" s="91">
        <v>0</v>
      </c>
      <c r="M50" s="91">
        <v>0</v>
      </c>
      <c r="N50" s="91">
        <v>0</v>
      </c>
      <c r="O50" s="91">
        <v>0</v>
      </c>
      <c r="P50" s="91">
        <v>0</v>
      </c>
      <c r="Q50" s="91">
        <v>0</v>
      </c>
      <c r="R50" s="91">
        <v>0</v>
      </c>
      <c r="S50" s="91">
        <v>0</v>
      </c>
      <c r="T50" s="91">
        <v>0</v>
      </c>
      <c r="U50" s="91">
        <v>0</v>
      </c>
      <c r="V50" s="202">
        <v>0</v>
      </c>
      <c r="W50" s="91">
        <v>0</v>
      </c>
      <c r="X50" s="91">
        <v>0</v>
      </c>
      <c r="Y50" s="91">
        <v>0</v>
      </c>
      <c r="Z50" s="91">
        <v>0</v>
      </c>
      <c r="AA50" s="91">
        <v>0</v>
      </c>
      <c r="AB50" s="91">
        <v>0</v>
      </c>
      <c r="AC50" s="91">
        <v>0</v>
      </c>
      <c r="AD50" s="91">
        <v>0</v>
      </c>
      <c r="AE50" s="91">
        <v>0</v>
      </c>
      <c r="AF50" s="91">
        <v>0</v>
      </c>
      <c r="AG50" s="91">
        <v>0</v>
      </c>
      <c r="AH50" s="84">
        <v>1</v>
      </c>
      <c r="AI50" s="97">
        <f t="shared" si="0"/>
        <v>0</v>
      </c>
    </row>
    <row r="51" spans="1:35">
      <c r="A51" s="55" t="s">
        <v>216</v>
      </c>
      <c r="B51" s="91">
        <v>0</v>
      </c>
      <c r="C51" s="91">
        <v>0</v>
      </c>
      <c r="D51" s="91">
        <v>1</v>
      </c>
      <c r="E51" s="90">
        <v>1</v>
      </c>
      <c r="F51" s="91">
        <v>2090</v>
      </c>
      <c r="G51" s="91">
        <v>1874</v>
      </c>
      <c r="H51" s="91">
        <v>216</v>
      </c>
      <c r="I51" s="91">
        <v>337.44000000000005</v>
      </c>
      <c r="J51" s="91">
        <v>0</v>
      </c>
      <c r="K51" s="91">
        <v>2119</v>
      </c>
      <c r="L51" s="91">
        <v>2061</v>
      </c>
      <c r="M51" s="91">
        <v>2050</v>
      </c>
      <c r="N51" s="91">
        <v>2131</v>
      </c>
      <c r="O51" s="91">
        <v>174</v>
      </c>
      <c r="P51" s="91">
        <v>60</v>
      </c>
      <c r="Q51" s="91">
        <v>0</v>
      </c>
      <c r="R51" s="91">
        <v>0</v>
      </c>
      <c r="S51" s="91">
        <v>-18</v>
      </c>
      <c r="T51" s="91">
        <v>0</v>
      </c>
      <c r="U51" s="91">
        <v>0</v>
      </c>
      <c r="V51" s="202">
        <v>0</v>
      </c>
      <c r="W51" s="91">
        <v>-18</v>
      </c>
      <c r="X51" s="91">
        <v>0</v>
      </c>
      <c r="Y51" s="91">
        <v>0</v>
      </c>
      <c r="Z51" s="91">
        <v>0</v>
      </c>
      <c r="AA51" s="91">
        <v>0</v>
      </c>
      <c r="AB51" s="91">
        <v>0</v>
      </c>
      <c r="AC51" s="91">
        <v>0</v>
      </c>
      <c r="AD51" s="91">
        <v>0</v>
      </c>
      <c r="AE51" s="91">
        <v>0</v>
      </c>
      <c r="AF51" s="91">
        <v>0</v>
      </c>
      <c r="AG51" s="91">
        <v>0</v>
      </c>
      <c r="AH51" s="84">
        <v>1</v>
      </c>
      <c r="AI51" s="97">
        <f t="shared" si="0"/>
        <v>216</v>
      </c>
    </row>
    <row r="52" spans="1:35">
      <c r="A52" s="55" t="s">
        <v>217</v>
      </c>
      <c r="B52" s="91">
        <v>0</v>
      </c>
      <c r="C52" s="91">
        <v>0</v>
      </c>
      <c r="D52" s="91">
        <v>56</v>
      </c>
      <c r="E52" s="90">
        <v>59</v>
      </c>
      <c r="F52" s="91">
        <v>228233</v>
      </c>
      <c r="G52" s="91">
        <v>216889</v>
      </c>
      <c r="H52" s="91">
        <v>20941</v>
      </c>
      <c r="I52" s="91">
        <v>1635.9000000000033</v>
      </c>
      <c r="J52" s="91">
        <v>-9597</v>
      </c>
      <c r="K52" s="91">
        <v>245144</v>
      </c>
      <c r="L52" s="91">
        <v>211945</v>
      </c>
      <c r="M52" s="91">
        <v>201971</v>
      </c>
      <c r="N52" s="91">
        <v>258906</v>
      </c>
      <c r="O52" s="91">
        <v>15290</v>
      </c>
      <c r="P52" s="91">
        <v>6780</v>
      </c>
      <c r="Q52" s="91">
        <v>0</v>
      </c>
      <c r="R52" s="91">
        <v>0</v>
      </c>
      <c r="S52" s="91">
        <v>-10726</v>
      </c>
      <c r="T52" s="91">
        <v>0</v>
      </c>
      <c r="U52" s="91">
        <v>0</v>
      </c>
      <c r="V52" s="202">
        <v>0</v>
      </c>
      <c r="W52" s="91">
        <v>-1129</v>
      </c>
      <c r="X52" s="91">
        <v>0</v>
      </c>
      <c r="Y52" s="91">
        <v>9597</v>
      </c>
      <c r="Z52" s="91">
        <v>0</v>
      </c>
      <c r="AA52" s="91">
        <v>0</v>
      </c>
      <c r="AB52" s="91">
        <v>-1129</v>
      </c>
      <c r="AC52" s="91">
        <v>-1129</v>
      </c>
      <c r="AD52" s="91">
        <v>-1129</v>
      </c>
      <c r="AE52" s="91">
        <v>-1129</v>
      </c>
      <c r="AF52" s="91">
        <v>-1129</v>
      </c>
      <c r="AG52" s="91">
        <v>-3952</v>
      </c>
      <c r="AH52" s="84">
        <v>9.5</v>
      </c>
      <c r="AI52" s="97">
        <f t="shared" si="0"/>
        <v>11344</v>
      </c>
    </row>
    <row r="53" spans="1:35">
      <c r="A53" s="55" t="s">
        <v>218</v>
      </c>
      <c r="B53" s="91">
        <v>0</v>
      </c>
      <c r="C53" s="91">
        <v>0</v>
      </c>
      <c r="D53" s="91">
        <v>0</v>
      </c>
      <c r="E53" s="90">
        <v>0</v>
      </c>
      <c r="F53" s="91">
        <v>0</v>
      </c>
      <c r="G53" s="91">
        <v>0</v>
      </c>
      <c r="H53" s="91">
        <v>0</v>
      </c>
      <c r="I53" s="91">
        <v>0</v>
      </c>
      <c r="J53" s="91">
        <v>0</v>
      </c>
      <c r="K53" s="91">
        <v>0</v>
      </c>
      <c r="L53" s="91">
        <v>0</v>
      </c>
      <c r="M53" s="91">
        <v>0</v>
      </c>
      <c r="N53" s="91">
        <v>0</v>
      </c>
      <c r="O53" s="91">
        <v>0</v>
      </c>
      <c r="P53" s="91">
        <v>0</v>
      </c>
      <c r="Q53" s="91">
        <v>0</v>
      </c>
      <c r="R53" s="91">
        <v>0</v>
      </c>
      <c r="S53" s="91">
        <v>0</v>
      </c>
      <c r="T53" s="91">
        <v>0</v>
      </c>
      <c r="U53" s="91">
        <v>0</v>
      </c>
      <c r="V53" s="202">
        <v>0</v>
      </c>
      <c r="W53" s="91">
        <v>0</v>
      </c>
      <c r="X53" s="91">
        <v>0</v>
      </c>
      <c r="Y53" s="91">
        <v>0</v>
      </c>
      <c r="Z53" s="91">
        <v>0</v>
      </c>
      <c r="AA53" s="91">
        <v>0</v>
      </c>
      <c r="AB53" s="91">
        <v>0</v>
      </c>
      <c r="AC53" s="91">
        <v>0</v>
      </c>
      <c r="AD53" s="91">
        <v>0</v>
      </c>
      <c r="AE53" s="91">
        <v>0</v>
      </c>
      <c r="AF53" s="91">
        <v>0</v>
      </c>
      <c r="AG53" s="91">
        <v>0</v>
      </c>
      <c r="AH53" s="84">
        <v>1</v>
      </c>
      <c r="AI53" s="97">
        <f t="shared" si="0"/>
        <v>0</v>
      </c>
    </row>
    <row r="54" spans="1:35">
      <c r="A54" s="55" t="s">
        <v>219</v>
      </c>
      <c r="B54" s="91">
        <v>0</v>
      </c>
      <c r="C54" s="91">
        <v>0</v>
      </c>
      <c r="D54" s="91">
        <v>10</v>
      </c>
      <c r="E54" s="90">
        <v>11</v>
      </c>
      <c r="F54" s="91">
        <v>39219</v>
      </c>
      <c r="G54" s="91">
        <v>38077</v>
      </c>
      <c r="H54" s="91">
        <v>3078</v>
      </c>
      <c r="I54" s="91">
        <v>217.94000000000005</v>
      </c>
      <c r="J54" s="91">
        <v>-1936</v>
      </c>
      <c r="K54" s="91">
        <v>42565</v>
      </c>
      <c r="L54" s="91">
        <v>35989</v>
      </c>
      <c r="M54" s="91">
        <v>34193</v>
      </c>
      <c r="N54" s="91">
        <v>45121</v>
      </c>
      <c r="O54" s="91">
        <v>2124</v>
      </c>
      <c r="P54" s="91">
        <v>1174</v>
      </c>
      <c r="Q54" s="91">
        <v>0</v>
      </c>
      <c r="R54" s="91">
        <v>0</v>
      </c>
      <c r="S54" s="91">
        <v>-2156</v>
      </c>
      <c r="T54" s="91">
        <v>0</v>
      </c>
      <c r="U54" s="91">
        <v>0</v>
      </c>
      <c r="V54" s="202">
        <v>0</v>
      </c>
      <c r="W54" s="91">
        <v>-220</v>
      </c>
      <c r="X54" s="91">
        <v>0</v>
      </c>
      <c r="Y54" s="91">
        <v>1936</v>
      </c>
      <c r="Z54" s="91">
        <v>0</v>
      </c>
      <c r="AA54" s="91">
        <v>0</v>
      </c>
      <c r="AB54" s="91">
        <v>-220</v>
      </c>
      <c r="AC54" s="91">
        <v>-220</v>
      </c>
      <c r="AD54" s="91">
        <v>-220</v>
      </c>
      <c r="AE54" s="91">
        <v>-220</v>
      </c>
      <c r="AF54" s="91">
        <v>-220</v>
      </c>
      <c r="AG54" s="91">
        <v>-836</v>
      </c>
      <c r="AH54" s="84">
        <v>9.8000000000000007</v>
      </c>
      <c r="AI54" s="97">
        <f t="shared" si="0"/>
        <v>1142</v>
      </c>
    </row>
    <row r="55" spans="1:35">
      <c r="A55" s="55" t="s">
        <v>220</v>
      </c>
      <c r="B55" s="91">
        <v>0</v>
      </c>
      <c r="C55" s="91">
        <v>0</v>
      </c>
      <c r="D55" s="91">
        <v>0</v>
      </c>
      <c r="E55" s="90">
        <v>0</v>
      </c>
      <c r="F55" s="91">
        <v>0</v>
      </c>
      <c r="G55" s="91">
        <v>0</v>
      </c>
      <c r="H55" s="91">
        <v>0</v>
      </c>
      <c r="I55" s="91">
        <v>0</v>
      </c>
      <c r="J55" s="91">
        <v>0</v>
      </c>
      <c r="K55" s="91">
        <v>0</v>
      </c>
      <c r="L55" s="91">
        <v>0</v>
      </c>
      <c r="M55" s="91">
        <v>0</v>
      </c>
      <c r="N55" s="91">
        <v>0</v>
      </c>
      <c r="O55" s="91">
        <v>0</v>
      </c>
      <c r="P55" s="91">
        <v>0</v>
      </c>
      <c r="Q55" s="91">
        <v>0</v>
      </c>
      <c r="R55" s="91">
        <v>0</v>
      </c>
      <c r="S55" s="91">
        <v>0</v>
      </c>
      <c r="T55" s="91">
        <v>0</v>
      </c>
      <c r="U55" s="91">
        <v>0</v>
      </c>
      <c r="V55" s="202">
        <v>0</v>
      </c>
      <c r="W55" s="91">
        <v>0</v>
      </c>
      <c r="X55" s="91">
        <v>0</v>
      </c>
      <c r="Y55" s="91">
        <v>0</v>
      </c>
      <c r="Z55" s="91">
        <v>0</v>
      </c>
      <c r="AA55" s="91">
        <v>0</v>
      </c>
      <c r="AB55" s="91">
        <v>0</v>
      </c>
      <c r="AC55" s="91">
        <v>0</v>
      </c>
      <c r="AD55" s="91">
        <v>0</v>
      </c>
      <c r="AE55" s="91">
        <v>0</v>
      </c>
      <c r="AF55" s="91">
        <v>0</v>
      </c>
      <c r="AG55" s="91">
        <v>0</v>
      </c>
      <c r="AH55" s="84">
        <v>1</v>
      </c>
      <c r="AI55" s="97">
        <f t="shared" si="0"/>
        <v>0</v>
      </c>
    </row>
    <row r="56" spans="1:35">
      <c r="A56" s="55" t="s">
        <v>221</v>
      </c>
      <c r="B56" s="91">
        <v>0</v>
      </c>
      <c r="C56" s="91">
        <v>0</v>
      </c>
      <c r="D56" s="91">
        <v>8</v>
      </c>
      <c r="E56" s="90">
        <v>9</v>
      </c>
      <c r="F56" s="91">
        <v>16874</v>
      </c>
      <c r="G56" s="91">
        <v>15587</v>
      </c>
      <c r="H56" s="91">
        <v>2230</v>
      </c>
      <c r="I56" s="91">
        <v>235.61</v>
      </c>
      <c r="J56" s="91">
        <v>-943</v>
      </c>
      <c r="K56" s="91">
        <v>18510</v>
      </c>
      <c r="L56" s="91">
        <v>15374</v>
      </c>
      <c r="M56" s="91">
        <v>14615</v>
      </c>
      <c r="N56" s="91">
        <v>19685</v>
      </c>
      <c r="O56" s="91">
        <v>1821</v>
      </c>
      <c r="P56" s="91">
        <v>508</v>
      </c>
      <c r="Q56" s="91">
        <v>0</v>
      </c>
      <c r="R56" s="91">
        <v>0</v>
      </c>
      <c r="S56" s="91">
        <v>-1042</v>
      </c>
      <c r="T56" s="91">
        <v>0</v>
      </c>
      <c r="U56" s="91">
        <v>0</v>
      </c>
      <c r="V56" s="202">
        <v>0</v>
      </c>
      <c r="W56" s="91">
        <v>-99</v>
      </c>
      <c r="X56" s="91">
        <v>0</v>
      </c>
      <c r="Y56" s="91">
        <v>943</v>
      </c>
      <c r="Z56" s="91">
        <v>0</v>
      </c>
      <c r="AA56" s="91">
        <v>0</v>
      </c>
      <c r="AB56" s="91">
        <v>-99</v>
      </c>
      <c r="AC56" s="91">
        <v>-99</v>
      </c>
      <c r="AD56" s="91">
        <v>-99</v>
      </c>
      <c r="AE56" s="91">
        <v>-99</v>
      </c>
      <c r="AF56" s="91">
        <v>-99</v>
      </c>
      <c r="AG56" s="91">
        <v>-448</v>
      </c>
      <c r="AH56" s="84">
        <v>10.5</v>
      </c>
      <c r="AI56" s="97">
        <f t="shared" si="0"/>
        <v>1287</v>
      </c>
    </row>
    <row r="57" spans="1:35">
      <c r="A57" s="55" t="s">
        <v>222</v>
      </c>
      <c r="B57" s="91">
        <v>0</v>
      </c>
      <c r="C57" s="91">
        <v>0</v>
      </c>
      <c r="D57" s="91">
        <v>141</v>
      </c>
      <c r="E57" s="90">
        <v>147</v>
      </c>
      <c r="F57" s="91">
        <v>125700</v>
      </c>
      <c r="G57" s="91">
        <v>108357</v>
      </c>
      <c r="H57" s="91">
        <v>25272</v>
      </c>
      <c r="I57" s="91">
        <v>127.23000000000059</v>
      </c>
      <c r="J57" s="91">
        <v>-7929</v>
      </c>
      <c r="K57" s="91">
        <v>139545</v>
      </c>
      <c r="L57" s="91">
        <v>113321</v>
      </c>
      <c r="M57" s="91">
        <v>105410</v>
      </c>
      <c r="N57" s="91">
        <v>150907</v>
      </c>
      <c r="O57" s="91">
        <v>22259</v>
      </c>
      <c r="P57" s="91">
        <v>3814</v>
      </c>
      <c r="Q57" s="91">
        <v>0</v>
      </c>
      <c r="R57" s="91">
        <v>0</v>
      </c>
      <c r="S57" s="91">
        <v>-8730</v>
      </c>
      <c r="T57" s="91">
        <v>0</v>
      </c>
      <c r="U57" s="91">
        <v>0</v>
      </c>
      <c r="V57" s="202">
        <v>0</v>
      </c>
      <c r="W57" s="91">
        <v>-801</v>
      </c>
      <c r="X57" s="91">
        <v>0</v>
      </c>
      <c r="Y57" s="91">
        <v>7929</v>
      </c>
      <c r="Z57" s="91">
        <v>0</v>
      </c>
      <c r="AA57" s="91">
        <v>0</v>
      </c>
      <c r="AB57" s="91">
        <v>-801</v>
      </c>
      <c r="AC57" s="91">
        <v>-801</v>
      </c>
      <c r="AD57" s="91">
        <v>-801</v>
      </c>
      <c r="AE57" s="91">
        <v>-801</v>
      </c>
      <c r="AF57" s="91">
        <v>-801</v>
      </c>
      <c r="AG57" s="91">
        <v>-3924</v>
      </c>
      <c r="AH57" s="84">
        <v>10.9</v>
      </c>
      <c r="AI57" s="97">
        <f t="shared" si="0"/>
        <v>17343</v>
      </c>
    </row>
    <row r="58" spans="1:35">
      <c r="A58" s="55" t="s">
        <v>223</v>
      </c>
      <c r="B58" s="91">
        <v>0</v>
      </c>
      <c r="C58" s="91">
        <v>0</v>
      </c>
      <c r="D58" s="91">
        <v>0</v>
      </c>
      <c r="E58" s="90">
        <v>0</v>
      </c>
      <c r="F58" s="91">
        <v>0</v>
      </c>
      <c r="G58" s="91">
        <v>0</v>
      </c>
      <c r="H58" s="91">
        <v>0</v>
      </c>
      <c r="I58" s="91">
        <v>0</v>
      </c>
      <c r="J58" s="91">
        <v>0</v>
      </c>
      <c r="K58" s="91">
        <v>0</v>
      </c>
      <c r="L58" s="91">
        <v>0</v>
      </c>
      <c r="M58" s="91">
        <v>0</v>
      </c>
      <c r="N58" s="91">
        <v>0</v>
      </c>
      <c r="O58" s="91">
        <v>0</v>
      </c>
      <c r="P58" s="91">
        <v>0</v>
      </c>
      <c r="Q58" s="91">
        <v>0</v>
      </c>
      <c r="R58" s="91">
        <v>0</v>
      </c>
      <c r="S58" s="91">
        <v>0</v>
      </c>
      <c r="T58" s="91">
        <v>0</v>
      </c>
      <c r="U58" s="91">
        <v>0</v>
      </c>
      <c r="V58" s="202">
        <v>0</v>
      </c>
      <c r="W58" s="91">
        <v>0</v>
      </c>
      <c r="X58" s="91">
        <v>0</v>
      </c>
      <c r="Y58" s="91">
        <v>0</v>
      </c>
      <c r="Z58" s="91">
        <v>0</v>
      </c>
      <c r="AA58" s="91">
        <v>0</v>
      </c>
      <c r="AB58" s="91">
        <v>0</v>
      </c>
      <c r="AC58" s="91">
        <v>0</v>
      </c>
      <c r="AD58" s="91">
        <v>0</v>
      </c>
      <c r="AE58" s="91">
        <v>0</v>
      </c>
      <c r="AF58" s="91">
        <v>0</v>
      </c>
      <c r="AG58" s="91">
        <v>0</v>
      </c>
      <c r="AH58" s="84">
        <v>1</v>
      </c>
      <c r="AI58" s="97">
        <f t="shared" si="0"/>
        <v>0</v>
      </c>
    </row>
    <row r="59" spans="1:35">
      <c r="A59" s="55" t="s">
        <v>224</v>
      </c>
      <c r="B59" s="91">
        <v>0</v>
      </c>
      <c r="C59" s="91">
        <v>0</v>
      </c>
      <c r="D59" s="91">
        <v>127</v>
      </c>
      <c r="E59" s="90">
        <v>141</v>
      </c>
      <c r="F59" s="91">
        <v>261532</v>
      </c>
      <c r="G59" s="91">
        <v>244512</v>
      </c>
      <c r="H59" s="91">
        <v>28094</v>
      </c>
      <c r="I59" s="91">
        <v>2891.5200000000013</v>
      </c>
      <c r="J59" s="91">
        <v>-11074</v>
      </c>
      <c r="K59" s="91">
        <v>281040</v>
      </c>
      <c r="L59" s="91">
        <v>242749</v>
      </c>
      <c r="M59" s="91">
        <v>230787</v>
      </c>
      <c r="N59" s="91">
        <v>297833</v>
      </c>
      <c r="O59" s="91">
        <v>21757</v>
      </c>
      <c r="P59" s="91">
        <v>7775</v>
      </c>
      <c r="Q59" s="91">
        <v>0</v>
      </c>
      <c r="R59" s="91">
        <v>0</v>
      </c>
      <c r="S59" s="91">
        <v>-12512</v>
      </c>
      <c r="T59" s="91">
        <v>0</v>
      </c>
      <c r="U59" s="91">
        <v>0</v>
      </c>
      <c r="V59" s="202">
        <v>0</v>
      </c>
      <c r="W59" s="91">
        <v>-1438</v>
      </c>
      <c r="X59" s="91">
        <v>0</v>
      </c>
      <c r="Y59" s="91">
        <v>11074</v>
      </c>
      <c r="Z59" s="91">
        <v>0</v>
      </c>
      <c r="AA59" s="91">
        <v>0</v>
      </c>
      <c r="AB59" s="91">
        <v>-1438</v>
      </c>
      <c r="AC59" s="91">
        <v>-1438</v>
      </c>
      <c r="AD59" s="91">
        <v>-1438</v>
      </c>
      <c r="AE59" s="91">
        <v>-1438</v>
      </c>
      <c r="AF59" s="91">
        <v>-1438</v>
      </c>
      <c r="AG59" s="91">
        <v>-3884</v>
      </c>
      <c r="AH59" s="84">
        <v>8.6999999999999993</v>
      </c>
      <c r="AI59" s="97">
        <f t="shared" si="0"/>
        <v>17020</v>
      </c>
    </row>
    <row r="60" spans="1:35">
      <c r="A60" s="55" t="s">
        <v>225</v>
      </c>
      <c r="B60" s="91">
        <v>0</v>
      </c>
      <c r="C60" s="91">
        <v>0</v>
      </c>
      <c r="D60" s="91">
        <v>24</v>
      </c>
      <c r="E60" s="90">
        <v>27</v>
      </c>
      <c r="F60" s="91">
        <v>97345</v>
      </c>
      <c r="G60" s="91">
        <v>92674</v>
      </c>
      <c r="H60" s="91">
        <v>8305</v>
      </c>
      <c r="I60" s="91">
        <v>1778.58</v>
      </c>
      <c r="J60" s="91">
        <v>-3634</v>
      </c>
      <c r="K60" s="91">
        <v>103974</v>
      </c>
      <c r="L60" s="91">
        <v>90961</v>
      </c>
      <c r="M60" s="91">
        <v>87523</v>
      </c>
      <c r="N60" s="91">
        <v>108666</v>
      </c>
      <c r="O60" s="91">
        <v>6029</v>
      </c>
      <c r="P60" s="91">
        <v>2882</v>
      </c>
      <c r="Q60" s="91">
        <v>0</v>
      </c>
      <c r="R60" s="91">
        <v>0</v>
      </c>
      <c r="S60" s="91">
        <v>-4240</v>
      </c>
      <c r="T60" s="91">
        <v>0</v>
      </c>
      <c r="U60" s="91">
        <v>0</v>
      </c>
      <c r="V60" s="202">
        <v>0</v>
      </c>
      <c r="W60" s="91">
        <v>-606</v>
      </c>
      <c r="X60" s="91">
        <v>0</v>
      </c>
      <c r="Y60" s="91">
        <v>3634</v>
      </c>
      <c r="Z60" s="91">
        <v>0</v>
      </c>
      <c r="AA60" s="91">
        <v>0</v>
      </c>
      <c r="AB60" s="91">
        <v>-606</v>
      </c>
      <c r="AC60" s="91">
        <v>-606</v>
      </c>
      <c r="AD60" s="91">
        <v>-606</v>
      </c>
      <c r="AE60" s="91">
        <v>-606</v>
      </c>
      <c r="AF60" s="91">
        <v>-606</v>
      </c>
      <c r="AG60" s="91">
        <v>-604</v>
      </c>
      <c r="AH60" s="84">
        <v>7</v>
      </c>
      <c r="AI60" s="97">
        <f t="shared" si="0"/>
        <v>4671</v>
      </c>
    </row>
    <row r="61" spans="1:35">
      <c r="A61" s="55" t="s">
        <v>226</v>
      </c>
      <c r="B61" s="91">
        <v>0</v>
      </c>
      <c r="C61" s="91">
        <v>0</v>
      </c>
      <c r="D61" s="91">
        <v>14</v>
      </c>
      <c r="E61" s="90">
        <v>20</v>
      </c>
      <c r="F61" s="91">
        <v>51598</v>
      </c>
      <c r="G61" s="91">
        <v>49148</v>
      </c>
      <c r="H61" s="91">
        <v>5278</v>
      </c>
      <c r="I61" s="91">
        <v>735.89999999999986</v>
      </c>
      <c r="J61" s="91">
        <v>-2828</v>
      </c>
      <c r="K61" s="91">
        <v>56508</v>
      </c>
      <c r="L61" s="91">
        <v>47042</v>
      </c>
      <c r="M61" s="91">
        <v>44452</v>
      </c>
      <c r="N61" s="91">
        <v>60476</v>
      </c>
      <c r="O61" s="91">
        <v>4039</v>
      </c>
      <c r="P61" s="91">
        <v>1553</v>
      </c>
      <c r="Q61" s="91">
        <v>0</v>
      </c>
      <c r="R61" s="91">
        <v>0</v>
      </c>
      <c r="S61" s="91">
        <v>-3142</v>
      </c>
      <c r="T61" s="91">
        <v>0</v>
      </c>
      <c r="U61" s="91">
        <v>0</v>
      </c>
      <c r="V61" s="202">
        <v>0</v>
      </c>
      <c r="W61" s="91">
        <v>-314</v>
      </c>
      <c r="X61" s="91">
        <v>0</v>
      </c>
      <c r="Y61" s="91">
        <v>2828</v>
      </c>
      <c r="Z61" s="91">
        <v>0</v>
      </c>
      <c r="AA61" s="91">
        <v>0</v>
      </c>
      <c r="AB61" s="91">
        <v>-314</v>
      </c>
      <c r="AC61" s="91">
        <v>-314</v>
      </c>
      <c r="AD61" s="91">
        <v>-314</v>
      </c>
      <c r="AE61" s="91">
        <v>-314</v>
      </c>
      <c r="AF61" s="91">
        <v>-314</v>
      </c>
      <c r="AG61" s="91">
        <v>-1258</v>
      </c>
      <c r="AH61" s="84">
        <v>10</v>
      </c>
      <c r="AI61" s="97">
        <f t="shared" si="0"/>
        <v>2450</v>
      </c>
    </row>
    <row r="62" spans="1:35">
      <c r="A62" s="55" t="s">
        <v>227</v>
      </c>
      <c r="B62" s="91">
        <v>0</v>
      </c>
      <c r="C62" s="91">
        <v>0</v>
      </c>
      <c r="D62" s="91">
        <v>0</v>
      </c>
      <c r="E62" s="90">
        <v>0</v>
      </c>
      <c r="F62" s="91">
        <v>0</v>
      </c>
      <c r="G62" s="91">
        <v>0</v>
      </c>
      <c r="H62" s="91">
        <v>0</v>
      </c>
      <c r="I62" s="91">
        <v>0</v>
      </c>
      <c r="J62" s="91">
        <v>0</v>
      </c>
      <c r="K62" s="91">
        <v>0</v>
      </c>
      <c r="L62" s="91">
        <v>0</v>
      </c>
      <c r="M62" s="91">
        <v>0</v>
      </c>
      <c r="N62" s="91">
        <v>0</v>
      </c>
      <c r="O62" s="91">
        <v>0</v>
      </c>
      <c r="P62" s="91">
        <v>0</v>
      </c>
      <c r="Q62" s="91">
        <v>0</v>
      </c>
      <c r="R62" s="91">
        <v>0</v>
      </c>
      <c r="S62" s="91">
        <v>0</v>
      </c>
      <c r="T62" s="91">
        <v>0</v>
      </c>
      <c r="U62" s="91">
        <v>0</v>
      </c>
      <c r="V62" s="202">
        <v>0</v>
      </c>
      <c r="W62" s="91">
        <v>0</v>
      </c>
      <c r="X62" s="91">
        <v>0</v>
      </c>
      <c r="Y62" s="91">
        <v>0</v>
      </c>
      <c r="Z62" s="91">
        <v>0</v>
      </c>
      <c r="AA62" s="91">
        <v>0</v>
      </c>
      <c r="AB62" s="91">
        <v>0</v>
      </c>
      <c r="AC62" s="91">
        <v>0</v>
      </c>
      <c r="AD62" s="91">
        <v>0</v>
      </c>
      <c r="AE62" s="91">
        <v>0</v>
      </c>
      <c r="AF62" s="91">
        <v>0</v>
      </c>
      <c r="AG62" s="91">
        <v>0</v>
      </c>
      <c r="AH62" s="84">
        <v>1</v>
      </c>
      <c r="AI62" s="97">
        <f t="shared" si="0"/>
        <v>0</v>
      </c>
    </row>
    <row r="63" spans="1:35" ht="22.5">
      <c r="A63" s="55" t="s">
        <v>228</v>
      </c>
      <c r="B63" s="91">
        <v>0</v>
      </c>
      <c r="C63" s="91">
        <v>0</v>
      </c>
      <c r="D63" s="91">
        <v>0</v>
      </c>
      <c r="E63" s="90">
        <v>0</v>
      </c>
      <c r="F63" s="91">
        <v>0</v>
      </c>
      <c r="G63" s="91">
        <v>0</v>
      </c>
      <c r="H63" s="91">
        <v>0</v>
      </c>
      <c r="I63" s="91">
        <v>0</v>
      </c>
      <c r="J63" s="91">
        <v>0</v>
      </c>
      <c r="K63" s="91">
        <v>0</v>
      </c>
      <c r="L63" s="91">
        <v>0</v>
      </c>
      <c r="M63" s="91">
        <v>0</v>
      </c>
      <c r="N63" s="91">
        <v>0</v>
      </c>
      <c r="O63" s="91">
        <v>0</v>
      </c>
      <c r="P63" s="91">
        <v>0</v>
      </c>
      <c r="Q63" s="91">
        <v>0</v>
      </c>
      <c r="R63" s="91">
        <v>0</v>
      </c>
      <c r="S63" s="91">
        <v>0</v>
      </c>
      <c r="T63" s="91">
        <v>0</v>
      </c>
      <c r="U63" s="91">
        <v>0</v>
      </c>
      <c r="V63" s="202">
        <v>0</v>
      </c>
      <c r="W63" s="91">
        <v>0</v>
      </c>
      <c r="X63" s="91">
        <v>0</v>
      </c>
      <c r="Y63" s="91">
        <v>0</v>
      </c>
      <c r="Z63" s="91">
        <v>0</v>
      </c>
      <c r="AA63" s="91">
        <v>0</v>
      </c>
      <c r="AB63" s="91">
        <v>0</v>
      </c>
      <c r="AC63" s="91">
        <v>0</v>
      </c>
      <c r="AD63" s="91">
        <v>0</v>
      </c>
      <c r="AE63" s="91">
        <v>0</v>
      </c>
      <c r="AF63" s="91">
        <v>0</v>
      </c>
      <c r="AG63" s="91">
        <v>0</v>
      </c>
      <c r="AH63" s="84">
        <v>1</v>
      </c>
      <c r="AI63" s="97">
        <f t="shared" si="0"/>
        <v>0</v>
      </c>
    </row>
    <row r="64" spans="1:35">
      <c r="A64" s="55" t="s">
        <v>229</v>
      </c>
      <c r="B64" s="91">
        <v>0</v>
      </c>
      <c r="C64" s="91">
        <v>0</v>
      </c>
      <c r="D64" s="91">
        <v>0</v>
      </c>
      <c r="E64" s="90">
        <v>0</v>
      </c>
      <c r="F64" s="91">
        <v>0</v>
      </c>
      <c r="G64" s="91">
        <v>0</v>
      </c>
      <c r="H64" s="91">
        <v>0</v>
      </c>
      <c r="I64" s="91">
        <v>0</v>
      </c>
      <c r="J64" s="91">
        <v>0</v>
      </c>
      <c r="K64" s="91">
        <v>0</v>
      </c>
      <c r="L64" s="91">
        <v>0</v>
      </c>
      <c r="M64" s="91">
        <v>0</v>
      </c>
      <c r="N64" s="91">
        <v>0</v>
      </c>
      <c r="O64" s="91">
        <v>0</v>
      </c>
      <c r="P64" s="91">
        <v>0</v>
      </c>
      <c r="Q64" s="91">
        <v>0</v>
      </c>
      <c r="R64" s="91">
        <v>0</v>
      </c>
      <c r="S64" s="91">
        <v>0</v>
      </c>
      <c r="T64" s="91">
        <v>0</v>
      </c>
      <c r="U64" s="91">
        <v>0</v>
      </c>
      <c r="V64" s="202">
        <v>0</v>
      </c>
      <c r="W64" s="91">
        <v>0</v>
      </c>
      <c r="X64" s="91">
        <v>0</v>
      </c>
      <c r="Y64" s="91">
        <v>0</v>
      </c>
      <c r="Z64" s="91">
        <v>0</v>
      </c>
      <c r="AA64" s="91">
        <v>0</v>
      </c>
      <c r="AB64" s="91">
        <v>0</v>
      </c>
      <c r="AC64" s="91">
        <v>0</v>
      </c>
      <c r="AD64" s="91">
        <v>0</v>
      </c>
      <c r="AE64" s="91">
        <v>0</v>
      </c>
      <c r="AF64" s="91">
        <v>0</v>
      </c>
      <c r="AG64" s="91">
        <v>0</v>
      </c>
      <c r="AH64" s="84">
        <v>1</v>
      </c>
      <c r="AI64" s="97">
        <f t="shared" si="0"/>
        <v>0</v>
      </c>
    </row>
    <row r="65" spans="1:35">
      <c r="A65" s="55" t="s">
        <v>230</v>
      </c>
      <c r="B65" s="91">
        <v>0</v>
      </c>
      <c r="C65" s="91">
        <v>0</v>
      </c>
      <c r="D65" s="91">
        <v>7</v>
      </c>
      <c r="E65" s="90">
        <v>8</v>
      </c>
      <c r="F65" s="91">
        <v>20387</v>
      </c>
      <c r="G65" s="91">
        <v>18267</v>
      </c>
      <c r="H65" s="91">
        <v>2753</v>
      </c>
      <c r="I65" s="91">
        <v>621.3599999999999</v>
      </c>
      <c r="J65" s="91">
        <v>-633</v>
      </c>
      <c r="K65" s="91">
        <v>21491</v>
      </c>
      <c r="L65" s="91">
        <v>19319</v>
      </c>
      <c r="M65" s="91">
        <v>18529</v>
      </c>
      <c r="N65" s="91">
        <v>22528</v>
      </c>
      <c r="O65" s="91">
        <v>2246</v>
      </c>
      <c r="P65" s="91">
        <v>599</v>
      </c>
      <c r="Q65" s="91">
        <v>0</v>
      </c>
      <c r="R65" s="91">
        <v>0</v>
      </c>
      <c r="S65" s="91">
        <v>-725</v>
      </c>
      <c r="T65" s="91">
        <v>0</v>
      </c>
      <c r="U65" s="91">
        <v>0</v>
      </c>
      <c r="V65" s="202">
        <v>0</v>
      </c>
      <c r="W65" s="91">
        <v>-92</v>
      </c>
      <c r="X65" s="91">
        <v>0</v>
      </c>
      <c r="Y65" s="91">
        <v>633</v>
      </c>
      <c r="Z65" s="91">
        <v>0</v>
      </c>
      <c r="AA65" s="91">
        <v>0</v>
      </c>
      <c r="AB65" s="91">
        <v>-92</v>
      </c>
      <c r="AC65" s="91">
        <v>-92</v>
      </c>
      <c r="AD65" s="91">
        <v>-92</v>
      </c>
      <c r="AE65" s="91">
        <v>-92</v>
      </c>
      <c r="AF65" s="91">
        <v>-92</v>
      </c>
      <c r="AG65" s="91">
        <v>-173</v>
      </c>
      <c r="AH65" s="84">
        <v>7.9</v>
      </c>
      <c r="AI65" s="97">
        <f t="shared" si="0"/>
        <v>2120</v>
      </c>
    </row>
    <row r="66" spans="1:35">
      <c r="A66" s="55" t="s">
        <v>231</v>
      </c>
      <c r="B66" s="91">
        <v>0</v>
      </c>
      <c r="C66" s="91">
        <v>0</v>
      </c>
      <c r="D66" s="91">
        <v>0</v>
      </c>
      <c r="E66" s="90">
        <v>0</v>
      </c>
      <c r="F66" s="91">
        <v>0</v>
      </c>
      <c r="G66" s="91">
        <v>0</v>
      </c>
      <c r="H66" s="91">
        <v>0</v>
      </c>
      <c r="I66" s="91">
        <v>0</v>
      </c>
      <c r="J66" s="91">
        <v>0</v>
      </c>
      <c r="K66" s="91">
        <v>0</v>
      </c>
      <c r="L66" s="91">
        <v>0</v>
      </c>
      <c r="M66" s="91">
        <v>0</v>
      </c>
      <c r="N66" s="91">
        <v>0</v>
      </c>
      <c r="O66" s="91">
        <v>0</v>
      </c>
      <c r="P66" s="91">
        <v>0</v>
      </c>
      <c r="Q66" s="91">
        <v>0</v>
      </c>
      <c r="R66" s="91">
        <v>0</v>
      </c>
      <c r="S66" s="91">
        <v>0</v>
      </c>
      <c r="T66" s="91">
        <v>0</v>
      </c>
      <c r="U66" s="91">
        <v>0</v>
      </c>
      <c r="V66" s="202">
        <v>0</v>
      </c>
      <c r="W66" s="91">
        <v>0</v>
      </c>
      <c r="X66" s="91">
        <v>0</v>
      </c>
      <c r="Y66" s="91">
        <v>0</v>
      </c>
      <c r="Z66" s="91">
        <v>0</v>
      </c>
      <c r="AA66" s="91">
        <v>0</v>
      </c>
      <c r="AB66" s="91">
        <v>0</v>
      </c>
      <c r="AC66" s="91">
        <v>0</v>
      </c>
      <c r="AD66" s="91">
        <v>0</v>
      </c>
      <c r="AE66" s="91">
        <v>0</v>
      </c>
      <c r="AF66" s="91">
        <v>0</v>
      </c>
      <c r="AG66" s="91">
        <v>0</v>
      </c>
      <c r="AH66" s="84">
        <v>1</v>
      </c>
      <c r="AI66" s="97">
        <f t="shared" si="0"/>
        <v>0</v>
      </c>
    </row>
    <row r="67" spans="1:35">
      <c r="A67" s="55" t="s">
        <v>232</v>
      </c>
      <c r="B67" s="91">
        <v>0</v>
      </c>
      <c r="C67" s="91">
        <v>0</v>
      </c>
      <c r="D67" s="91">
        <v>0</v>
      </c>
      <c r="E67" s="90">
        <v>0</v>
      </c>
      <c r="F67" s="91">
        <v>0</v>
      </c>
      <c r="G67" s="91">
        <v>0</v>
      </c>
      <c r="H67" s="91">
        <v>0</v>
      </c>
      <c r="I67" s="91">
        <v>0</v>
      </c>
      <c r="J67" s="91">
        <v>0</v>
      </c>
      <c r="K67" s="91">
        <v>0</v>
      </c>
      <c r="L67" s="91">
        <v>0</v>
      </c>
      <c r="M67" s="91">
        <v>0</v>
      </c>
      <c r="N67" s="91">
        <v>0</v>
      </c>
      <c r="O67" s="91">
        <v>0</v>
      </c>
      <c r="P67" s="91">
        <v>0</v>
      </c>
      <c r="Q67" s="91">
        <v>0</v>
      </c>
      <c r="R67" s="91">
        <v>0</v>
      </c>
      <c r="S67" s="91">
        <v>0</v>
      </c>
      <c r="T67" s="91">
        <v>0</v>
      </c>
      <c r="U67" s="91">
        <v>0</v>
      </c>
      <c r="V67" s="202">
        <v>0</v>
      </c>
      <c r="W67" s="91">
        <v>0</v>
      </c>
      <c r="X67" s="91">
        <v>0</v>
      </c>
      <c r="Y67" s="91">
        <v>0</v>
      </c>
      <c r="Z67" s="91">
        <v>0</v>
      </c>
      <c r="AA67" s="91">
        <v>0</v>
      </c>
      <c r="AB67" s="91">
        <v>0</v>
      </c>
      <c r="AC67" s="91">
        <v>0</v>
      </c>
      <c r="AD67" s="91">
        <v>0</v>
      </c>
      <c r="AE67" s="91">
        <v>0</v>
      </c>
      <c r="AF67" s="91">
        <v>0</v>
      </c>
      <c r="AG67" s="91">
        <v>0</v>
      </c>
      <c r="AH67" s="84">
        <v>1</v>
      </c>
      <c r="AI67" s="97">
        <f t="shared" si="0"/>
        <v>0</v>
      </c>
    </row>
    <row r="68" spans="1:35">
      <c r="A68" s="55" t="s">
        <v>233</v>
      </c>
      <c r="B68" s="91">
        <v>0</v>
      </c>
      <c r="C68" s="91">
        <v>0</v>
      </c>
      <c r="D68" s="91">
        <v>4</v>
      </c>
      <c r="E68" s="90">
        <v>5</v>
      </c>
      <c r="F68" s="91">
        <v>1078</v>
      </c>
      <c r="G68" s="91">
        <v>205</v>
      </c>
      <c r="H68" s="91">
        <v>915</v>
      </c>
      <c r="I68" s="91">
        <v>0</v>
      </c>
      <c r="J68" s="91">
        <v>-42</v>
      </c>
      <c r="K68" s="91">
        <v>1138</v>
      </c>
      <c r="L68" s="91">
        <v>1024</v>
      </c>
      <c r="M68" s="91">
        <v>1008</v>
      </c>
      <c r="N68" s="91">
        <v>1170</v>
      </c>
      <c r="O68" s="91">
        <v>888</v>
      </c>
      <c r="P68" s="91">
        <v>32</v>
      </c>
      <c r="Q68" s="91">
        <v>0</v>
      </c>
      <c r="R68" s="91">
        <v>0</v>
      </c>
      <c r="S68" s="91">
        <v>-47</v>
      </c>
      <c r="T68" s="91">
        <v>0</v>
      </c>
      <c r="U68" s="91">
        <v>0</v>
      </c>
      <c r="V68" s="202">
        <v>0</v>
      </c>
      <c r="W68" s="91">
        <v>-5</v>
      </c>
      <c r="X68" s="91">
        <v>0</v>
      </c>
      <c r="Y68" s="91">
        <v>42</v>
      </c>
      <c r="Z68" s="91">
        <v>0</v>
      </c>
      <c r="AA68" s="91">
        <v>0</v>
      </c>
      <c r="AB68" s="91">
        <v>-5</v>
      </c>
      <c r="AC68" s="91">
        <v>-5</v>
      </c>
      <c r="AD68" s="91">
        <v>-5</v>
      </c>
      <c r="AE68" s="91">
        <v>-5</v>
      </c>
      <c r="AF68" s="91">
        <v>-5</v>
      </c>
      <c r="AG68" s="91">
        <v>-17</v>
      </c>
      <c r="AH68" s="84">
        <v>9</v>
      </c>
      <c r="AI68" s="97">
        <f t="shared" si="0"/>
        <v>873</v>
      </c>
    </row>
    <row r="69" spans="1:35">
      <c r="A69" s="55" t="s">
        <v>234</v>
      </c>
      <c r="B69" s="91">
        <v>0</v>
      </c>
      <c r="C69" s="91">
        <v>0</v>
      </c>
      <c r="D69" s="91">
        <v>45</v>
      </c>
      <c r="E69" s="90">
        <v>47</v>
      </c>
      <c r="F69" s="91">
        <v>29885</v>
      </c>
      <c r="G69" s="91">
        <v>25182</v>
      </c>
      <c r="H69" s="91">
        <v>5875</v>
      </c>
      <c r="I69" s="91">
        <v>515.64999999999986</v>
      </c>
      <c r="J69" s="91">
        <v>-1172</v>
      </c>
      <c r="K69" s="91">
        <v>31966</v>
      </c>
      <c r="L69" s="91">
        <v>27861</v>
      </c>
      <c r="M69" s="91">
        <v>26232</v>
      </c>
      <c r="N69" s="91">
        <v>34102</v>
      </c>
      <c r="O69" s="91">
        <v>5137</v>
      </c>
      <c r="P69" s="91">
        <v>885</v>
      </c>
      <c r="Q69" s="91">
        <v>0</v>
      </c>
      <c r="R69" s="91">
        <v>0</v>
      </c>
      <c r="S69" s="91">
        <v>-1319</v>
      </c>
      <c r="T69" s="91">
        <v>0</v>
      </c>
      <c r="U69" s="91">
        <v>0</v>
      </c>
      <c r="V69" s="202">
        <v>0</v>
      </c>
      <c r="W69" s="91">
        <v>-147</v>
      </c>
      <c r="X69" s="91">
        <v>0</v>
      </c>
      <c r="Y69" s="91">
        <v>1172</v>
      </c>
      <c r="Z69" s="91">
        <v>0</v>
      </c>
      <c r="AA69" s="91">
        <v>0</v>
      </c>
      <c r="AB69" s="91">
        <v>-147</v>
      </c>
      <c r="AC69" s="91">
        <v>-147</v>
      </c>
      <c r="AD69" s="91">
        <v>-147</v>
      </c>
      <c r="AE69" s="91">
        <v>-147</v>
      </c>
      <c r="AF69" s="91">
        <v>-147</v>
      </c>
      <c r="AG69" s="91">
        <v>-437</v>
      </c>
      <c r="AH69" s="84">
        <v>9</v>
      </c>
      <c r="AI69" s="97">
        <f t="shared" ref="AI69:AI132" si="1">O69+P69+Q69+R69+S69-T69</f>
        <v>4703</v>
      </c>
    </row>
    <row r="70" spans="1:35">
      <c r="A70" s="55" t="s">
        <v>235</v>
      </c>
      <c r="B70" s="91">
        <v>0</v>
      </c>
      <c r="C70" s="91">
        <v>0</v>
      </c>
      <c r="D70" s="91">
        <v>0</v>
      </c>
      <c r="E70" s="90">
        <v>0</v>
      </c>
      <c r="F70" s="91">
        <v>0</v>
      </c>
      <c r="G70" s="91">
        <v>0</v>
      </c>
      <c r="H70" s="91">
        <v>0</v>
      </c>
      <c r="I70" s="91">
        <v>0</v>
      </c>
      <c r="J70" s="91">
        <v>0</v>
      </c>
      <c r="K70" s="91">
        <v>0</v>
      </c>
      <c r="L70" s="91">
        <v>0</v>
      </c>
      <c r="M70" s="91">
        <v>0</v>
      </c>
      <c r="N70" s="91">
        <v>0</v>
      </c>
      <c r="O70" s="91">
        <v>0</v>
      </c>
      <c r="P70" s="91">
        <v>0</v>
      </c>
      <c r="Q70" s="91">
        <v>0</v>
      </c>
      <c r="R70" s="91">
        <v>0</v>
      </c>
      <c r="S70" s="91">
        <v>0</v>
      </c>
      <c r="T70" s="91">
        <v>0</v>
      </c>
      <c r="U70" s="91">
        <v>0</v>
      </c>
      <c r="V70" s="202">
        <v>0</v>
      </c>
      <c r="W70" s="91">
        <v>0</v>
      </c>
      <c r="X70" s="91">
        <v>0</v>
      </c>
      <c r="Y70" s="91">
        <v>0</v>
      </c>
      <c r="Z70" s="91">
        <v>0</v>
      </c>
      <c r="AA70" s="91">
        <v>0</v>
      </c>
      <c r="AB70" s="91">
        <v>0</v>
      </c>
      <c r="AC70" s="91">
        <v>0</v>
      </c>
      <c r="AD70" s="91">
        <v>0</v>
      </c>
      <c r="AE70" s="91">
        <v>0</v>
      </c>
      <c r="AF70" s="91">
        <v>0</v>
      </c>
      <c r="AG70" s="91">
        <v>0</v>
      </c>
      <c r="AH70" s="84">
        <v>1</v>
      </c>
      <c r="AI70" s="97">
        <f t="shared" si="1"/>
        <v>0</v>
      </c>
    </row>
    <row r="71" spans="1:35">
      <c r="A71" s="55" t="s">
        <v>236</v>
      </c>
      <c r="B71" s="91">
        <v>0</v>
      </c>
      <c r="C71" s="91">
        <v>0</v>
      </c>
      <c r="D71" s="91">
        <v>0</v>
      </c>
      <c r="E71" s="90">
        <v>0</v>
      </c>
      <c r="F71" s="91">
        <v>0</v>
      </c>
      <c r="G71" s="91">
        <v>0</v>
      </c>
      <c r="H71" s="91">
        <v>0</v>
      </c>
      <c r="I71" s="91">
        <v>0</v>
      </c>
      <c r="J71" s="91">
        <v>0</v>
      </c>
      <c r="K71" s="91">
        <v>0</v>
      </c>
      <c r="L71" s="91">
        <v>0</v>
      </c>
      <c r="M71" s="91">
        <v>0</v>
      </c>
      <c r="N71" s="91">
        <v>0</v>
      </c>
      <c r="O71" s="91">
        <v>0</v>
      </c>
      <c r="P71" s="91">
        <v>0</v>
      </c>
      <c r="Q71" s="91">
        <v>0</v>
      </c>
      <c r="R71" s="91">
        <v>0</v>
      </c>
      <c r="S71" s="91">
        <v>0</v>
      </c>
      <c r="T71" s="91">
        <v>0</v>
      </c>
      <c r="U71" s="91">
        <v>0</v>
      </c>
      <c r="V71" s="202">
        <v>0</v>
      </c>
      <c r="W71" s="91">
        <v>0</v>
      </c>
      <c r="X71" s="91">
        <v>0</v>
      </c>
      <c r="Y71" s="91">
        <v>0</v>
      </c>
      <c r="Z71" s="91">
        <v>0</v>
      </c>
      <c r="AA71" s="91">
        <v>0</v>
      </c>
      <c r="AB71" s="91">
        <v>0</v>
      </c>
      <c r="AC71" s="91">
        <v>0</v>
      </c>
      <c r="AD71" s="91">
        <v>0</v>
      </c>
      <c r="AE71" s="91">
        <v>0</v>
      </c>
      <c r="AF71" s="91">
        <v>0</v>
      </c>
      <c r="AG71" s="91">
        <v>0</v>
      </c>
      <c r="AH71" s="84">
        <v>1</v>
      </c>
      <c r="AI71" s="97">
        <f t="shared" si="1"/>
        <v>0</v>
      </c>
    </row>
    <row r="72" spans="1:35">
      <c r="A72" s="55" t="s">
        <v>237</v>
      </c>
      <c r="B72" s="91">
        <v>0</v>
      </c>
      <c r="C72" s="91">
        <v>0</v>
      </c>
      <c r="D72" s="91">
        <v>0</v>
      </c>
      <c r="E72" s="90">
        <v>0</v>
      </c>
      <c r="F72" s="91">
        <v>0</v>
      </c>
      <c r="G72" s="91">
        <v>0</v>
      </c>
      <c r="H72" s="91">
        <v>0</v>
      </c>
      <c r="I72" s="91">
        <v>0</v>
      </c>
      <c r="J72" s="91">
        <v>0</v>
      </c>
      <c r="K72" s="91">
        <v>0</v>
      </c>
      <c r="L72" s="91">
        <v>0</v>
      </c>
      <c r="M72" s="91">
        <v>0</v>
      </c>
      <c r="N72" s="91">
        <v>0</v>
      </c>
      <c r="O72" s="91">
        <v>0</v>
      </c>
      <c r="P72" s="91">
        <v>0</v>
      </c>
      <c r="Q72" s="91">
        <v>0</v>
      </c>
      <c r="R72" s="91">
        <v>0</v>
      </c>
      <c r="S72" s="91">
        <v>0</v>
      </c>
      <c r="T72" s="91">
        <v>0</v>
      </c>
      <c r="U72" s="91">
        <v>0</v>
      </c>
      <c r="V72" s="202">
        <v>0</v>
      </c>
      <c r="W72" s="91">
        <v>0</v>
      </c>
      <c r="X72" s="91">
        <v>0</v>
      </c>
      <c r="Y72" s="91">
        <v>0</v>
      </c>
      <c r="Z72" s="91">
        <v>0</v>
      </c>
      <c r="AA72" s="91">
        <v>0</v>
      </c>
      <c r="AB72" s="91">
        <v>0</v>
      </c>
      <c r="AC72" s="91">
        <v>0</v>
      </c>
      <c r="AD72" s="91">
        <v>0</v>
      </c>
      <c r="AE72" s="91">
        <v>0</v>
      </c>
      <c r="AF72" s="91">
        <v>0</v>
      </c>
      <c r="AG72" s="91">
        <v>0</v>
      </c>
      <c r="AH72" s="84">
        <v>1</v>
      </c>
      <c r="AI72" s="97">
        <f t="shared" si="1"/>
        <v>0</v>
      </c>
    </row>
    <row r="73" spans="1:35">
      <c r="A73" s="55" t="s">
        <v>238</v>
      </c>
      <c r="B73" s="91">
        <v>0</v>
      </c>
      <c r="C73" s="91">
        <v>0</v>
      </c>
      <c r="D73" s="91">
        <v>120</v>
      </c>
      <c r="E73" s="90">
        <v>135</v>
      </c>
      <c r="F73" s="91">
        <v>244164</v>
      </c>
      <c r="G73" s="91">
        <v>222548</v>
      </c>
      <c r="H73" s="91">
        <v>30574</v>
      </c>
      <c r="I73" s="91">
        <v>869.39999999999918</v>
      </c>
      <c r="J73" s="91">
        <v>-8958</v>
      </c>
      <c r="K73" s="91">
        <v>260040</v>
      </c>
      <c r="L73" s="91">
        <v>229073</v>
      </c>
      <c r="M73" s="91">
        <v>219277</v>
      </c>
      <c r="N73" s="91">
        <v>272994</v>
      </c>
      <c r="O73" s="91">
        <v>24508</v>
      </c>
      <c r="P73" s="91">
        <v>7214</v>
      </c>
      <c r="Q73" s="91">
        <v>0</v>
      </c>
      <c r="R73" s="91">
        <v>0</v>
      </c>
      <c r="S73" s="91">
        <v>-10106</v>
      </c>
      <c r="T73" s="91">
        <v>0</v>
      </c>
      <c r="U73" s="91">
        <v>0</v>
      </c>
      <c r="V73" s="202">
        <v>0</v>
      </c>
      <c r="W73" s="91">
        <v>-1148</v>
      </c>
      <c r="X73" s="91">
        <v>0</v>
      </c>
      <c r="Y73" s="91">
        <v>8958</v>
      </c>
      <c r="Z73" s="91">
        <v>0</v>
      </c>
      <c r="AA73" s="91">
        <v>0</v>
      </c>
      <c r="AB73" s="91">
        <v>-1148</v>
      </c>
      <c r="AC73" s="91">
        <v>-1148</v>
      </c>
      <c r="AD73" s="91">
        <v>-1148</v>
      </c>
      <c r="AE73" s="91">
        <v>-1148</v>
      </c>
      <c r="AF73" s="91">
        <v>-1148</v>
      </c>
      <c r="AG73" s="91">
        <v>-3218</v>
      </c>
      <c r="AH73" s="84">
        <v>8.8000000000000007</v>
      </c>
      <c r="AI73" s="97">
        <f t="shared" si="1"/>
        <v>21616</v>
      </c>
    </row>
    <row r="74" spans="1:35">
      <c r="A74" s="55" t="s">
        <v>239</v>
      </c>
      <c r="B74" s="91">
        <v>0</v>
      </c>
      <c r="C74" s="91">
        <v>0</v>
      </c>
      <c r="D74" s="91">
        <v>162</v>
      </c>
      <c r="E74" s="90">
        <v>178</v>
      </c>
      <c r="F74" s="91">
        <v>329020</v>
      </c>
      <c r="G74" s="91">
        <v>310223</v>
      </c>
      <c r="H74" s="91">
        <v>37959</v>
      </c>
      <c r="I74" s="91">
        <v>1773.5400000000009</v>
      </c>
      <c r="J74" s="91">
        <v>-19162</v>
      </c>
      <c r="K74" s="91">
        <v>362451</v>
      </c>
      <c r="L74" s="91">
        <v>297986</v>
      </c>
      <c r="M74" s="91">
        <v>280851</v>
      </c>
      <c r="N74" s="91">
        <v>387579</v>
      </c>
      <c r="O74" s="91">
        <v>30000</v>
      </c>
      <c r="P74" s="91">
        <v>9934</v>
      </c>
      <c r="Q74" s="91">
        <v>0</v>
      </c>
      <c r="R74" s="91">
        <v>0</v>
      </c>
      <c r="S74" s="91">
        <v>-21137</v>
      </c>
      <c r="T74" s="91">
        <v>0</v>
      </c>
      <c r="U74" s="91">
        <v>0</v>
      </c>
      <c r="V74" s="202">
        <v>0</v>
      </c>
      <c r="W74" s="91">
        <v>-1975</v>
      </c>
      <c r="X74" s="91">
        <v>0</v>
      </c>
      <c r="Y74" s="91">
        <v>19162</v>
      </c>
      <c r="Z74" s="91">
        <v>0</v>
      </c>
      <c r="AA74" s="91">
        <v>0</v>
      </c>
      <c r="AB74" s="91">
        <v>-1975</v>
      </c>
      <c r="AC74" s="91">
        <v>-1975</v>
      </c>
      <c r="AD74" s="91">
        <v>-1975</v>
      </c>
      <c r="AE74" s="91">
        <v>-1975</v>
      </c>
      <c r="AF74" s="91">
        <v>-1975</v>
      </c>
      <c r="AG74" s="91">
        <v>-9287</v>
      </c>
      <c r="AH74" s="84">
        <v>10.7</v>
      </c>
      <c r="AI74" s="97">
        <f t="shared" si="1"/>
        <v>18797</v>
      </c>
    </row>
    <row r="75" spans="1:35">
      <c r="A75" s="55" t="s">
        <v>240</v>
      </c>
      <c r="B75" s="91">
        <v>0</v>
      </c>
      <c r="C75" s="91">
        <v>0</v>
      </c>
      <c r="D75" s="91">
        <v>18</v>
      </c>
      <c r="E75" s="90">
        <v>24</v>
      </c>
      <c r="F75" s="91">
        <v>64850</v>
      </c>
      <c r="G75" s="91">
        <v>60965</v>
      </c>
      <c r="H75" s="91">
        <v>7037</v>
      </c>
      <c r="I75" s="91">
        <v>444.48999999999978</v>
      </c>
      <c r="J75" s="91">
        <v>-3152</v>
      </c>
      <c r="K75" s="91">
        <v>70449</v>
      </c>
      <c r="L75" s="91">
        <v>59569</v>
      </c>
      <c r="M75" s="91">
        <v>56448</v>
      </c>
      <c r="N75" s="91">
        <v>74859</v>
      </c>
      <c r="O75" s="91">
        <v>5459</v>
      </c>
      <c r="P75" s="91">
        <v>1940</v>
      </c>
      <c r="Q75" s="91">
        <v>0</v>
      </c>
      <c r="R75" s="91">
        <v>0</v>
      </c>
      <c r="S75" s="91">
        <v>-3514</v>
      </c>
      <c r="T75" s="91">
        <v>0</v>
      </c>
      <c r="U75" s="91">
        <v>0</v>
      </c>
      <c r="V75" s="202">
        <v>0</v>
      </c>
      <c r="W75" s="91">
        <v>-362</v>
      </c>
      <c r="X75" s="91">
        <v>0</v>
      </c>
      <c r="Y75" s="91">
        <v>3152</v>
      </c>
      <c r="Z75" s="91">
        <v>0</v>
      </c>
      <c r="AA75" s="91">
        <v>0</v>
      </c>
      <c r="AB75" s="91">
        <v>-362</v>
      </c>
      <c r="AC75" s="91">
        <v>-362</v>
      </c>
      <c r="AD75" s="91">
        <v>-362</v>
      </c>
      <c r="AE75" s="91">
        <v>-362</v>
      </c>
      <c r="AF75" s="91">
        <v>-362</v>
      </c>
      <c r="AG75" s="91">
        <v>-1342</v>
      </c>
      <c r="AH75" s="84">
        <v>9.6999999999999993</v>
      </c>
      <c r="AI75" s="97">
        <f t="shared" si="1"/>
        <v>3885</v>
      </c>
    </row>
    <row r="76" spans="1:35">
      <c r="A76" s="55" t="s">
        <v>241</v>
      </c>
      <c r="B76" s="91">
        <v>1</v>
      </c>
      <c r="C76" s="91">
        <v>0</v>
      </c>
      <c r="D76" s="91">
        <v>16</v>
      </c>
      <c r="E76" s="90">
        <v>16</v>
      </c>
      <c r="F76" s="91">
        <v>77335</v>
      </c>
      <c r="G76" s="91">
        <v>74812</v>
      </c>
      <c r="H76" s="91">
        <v>7467</v>
      </c>
      <c r="I76" s="91">
        <v>2875.3099999999995</v>
      </c>
      <c r="J76" s="91">
        <v>-2457</v>
      </c>
      <c r="K76" s="91">
        <v>81781</v>
      </c>
      <c r="L76" s="91">
        <v>73012</v>
      </c>
      <c r="M76" s="91">
        <v>70746</v>
      </c>
      <c r="N76" s="91">
        <v>84909</v>
      </c>
      <c r="O76" s="91">
        <v>5529</v>
      </c>
      <c r="P76" s="91">
        <v>2310</v>
      </c>
      <c r="Q76" s="91">
        <v>0</v>
      </c>
      <c r="R76" s="91">
        <v>0</v>
      </c>
      <c r="S76" s="91">
        <v>-2829</v>
      </c>
      <c r="T76" s="91">
        <v>2487</v>
      </c>
      <c r="U76" s="91">
        <v>0</v>
      </c>
      <c r="V76" s="202">
        <v>0</v>
      </c>
      <c r="W76" s="91">
        <v>-372</v>
      </c>
      <c r="X76" s="91">
        <v>0</v>
      </c>
      <c r="Y76" s="91">
        <v>2457</v>
      </c>
      <c r="Z76" s="91">
        <v>0</v>
      </c>
      <c r="AA76" s="91">
        <v>0</v>
      </c>
      <c r="AB76" s="91">
        <v>-372</v>
      </c>
      <c r="AC76" s="91">
        <v>-372</v>
      </c>
      <c r="AD76" s="91">
        <v>-372</v>
      </c>
      <c r="AE76" s="91">
        <v>-372</v>
      </c>
      <c r="AF76" s="91">
        <v>-372</v>
      </c>
      <c r="AG76" s="91">
        <v>-597</v>
      </c>
      <c r="AH76" s="84">
        <v>7.6</v>
      </c>
      <c r="AI76" s="97">
        <f t="shared" si="1"/>
        <v>2523</v>
      </c>
    </row>
    <row r="77" spans="1:35">
      <c r="A77" s="55" t="s">
        <v>242</v>
      </c>
      <c r="B77" s="91">
        <v>0</v>
      </c>
      <c r="C77" s="91">
        <v>0</v>
      </c>
      <c r="D77" s="91">
        <v>71</v>
      </c>
      <c r="E77" s="90">
        <v>78</v>
      </c>
      <c r="F77" s="91">
        <v>167677</v>
      </c>
      <c r="G77" s="91">
        <v>156802</v>
      </c>
      <c r="H77" s="91">
        <v>19985</v>
      </c>
      <c r="I77" s="91">
        <v>950.1800000000012</v>
      </c>
      <c r="J77" s="91">
        <v>-9110</v>
      </c>
      <c r="K77" s="91">
        <v>183629</v>
      </c>
      <c r="L77" s="91">
        <v>152821</v>
      </c>
      <c r="M77" s="91">
        <v>144363</v>
      </c>
      <c r="N77" s="91">
        <v>195891</v>
      </c>
      <c r="O77" s="91">
        <v>15891</v>
      </c>
      <c r="P77" s="91">
        <v>5043</v>
      </c>
      <c r="Q77" s="91">
        <v>0</v>
      </c>
      <c r="R77" s="91">
        <v>0</v>
      </c>
      <c r="S77" s="91">
        <v>-10059</v>
      </c>
      <c r="T77" s="91">
        <v>0</v>
      </c>
      <c r="U77" s="91">
        <v>0</v>
      </c>
      <c r="V77" s="202">
        <v>0</v>
      </c>
      <c r="W77" s="91">
        <v>-949</v>
      </c>
      <c r="X77" s="91">
        <v>0</v>
      </c>
      <c r="Y77" s="91">
        <v>9110</v>
      </c>
      <c r="Z77" s="91">
        <v>0</v>
      </c>
      <c r="AA77" s="91">
        <v>0</v>
      </c>
      <c r="AB77" s="91">
        <v>-949</v>
      </c>
      <c r="AC77" s="91">
        <v>-949</v>
      </c>
      <c r="AD77" s="91">
        <v>-949</v>
      </c>
      <c r="AE77" s="91">
        <v>-949</v>
      </c>
      <c r="AF77" s="91">
        <v>-949</v>
      </c>
      <c r="AG77" s="91">
        <v>-4365</v>
      </c>
      <c r="AH77" s="84">
        <v>10.6</v>
      </c>
      <c r="AI77" s="97">
        <f t="shared" si="1"/>
        <v>10875</v>
      </c>
    </row>
    <row r="78" spans="1:35" ht="22.5">
      <c r="A78" s="55" t="s">
        <v>243</v>
      </c>
      <c r="B78" s="91">
        <v>0</v>
      </c>
      <c r="C78" s="91">
        <v>0</v>
      </c>
      <c r="D78" s="91">
        <v>3</v>
      </c>
      <c r="E78" s="90">
        <v>3</v>
      </c>
      <c r="F78" s="91">
        <v>2727</v>
      </c>
      <c r="G78" s="91">
        <v>2470</v>
      </c>
      <c r="H78" s="91">
        <v>493</v>
      </c>
      <c r="I78" s="91">
        <v>0</v>
      </c>
      <c r="J78" s="91">
        <v>-236</v>
      </c>
      <c r="K78" s="91">
        <v>3140</v>
      </c>
      <c r="L78" s="91">
        <v>2351</v>
      </c>
      <c r="M78" s="91">
        <v>2160</v>
      </c>
      <c r="N78" s="91">
        <v>3442</v>
      </c>
      <c r="O78" s="91">
        <v>437</v>
      </c>
      <c r="P78" s="91">
        <v>85</v>
      </c>
      <c r="Q78" s="91">
        <v>0</v>
      </c>
      <c r="R78" s="91">
        <v>0</v>
      </c>
      <c r="S78" s="91">
        <v>-265</v>
      </c>
      <c r="T78" s="91">
        <v>0</v>
      </c>
      <c r="U78" s="91">
        <v>0</v>
      </c>
      <c r="V78" s="202">
        <v>0</v>
      </c>
      <c r="W78" s="91">
        <v>-29</v>
      </c>
      <c r="X78" s="91">
        <v>0</v>
      </c>
      <c r="Y78" s="91">
        <v>236</v>
      </c>
      <c r="Z78" s="91">
        <v>0</v>
      </c>
      <c r="AA78" s="91">
        <v>0</v>
      </c>
      <c r="AB78" s="91">
        <v>-29</v>
      </c>
      <c r="AC78" s="91">
        <v>-29</v>
      </c>
      <c r="AD78" s="91">
        <v>-29</v>
      </c>
      <c r="AE78" s="91">
        <v>-29</v>
      </c>
      <c r="AF78" s="91">
        <v>-29</v>
      </c>
      <c r="AG78" s="91">
        <v>-91</v>
      </c>
      <c r="AH78" s="84">
        <v>9.1</v>
      </c>
      <c r="AI78" s="97">
        <f t="shared" si="1"/>
        <v>257</v>
      </c>
    </row>
    <row r="79" spans="1:35">
      <c r="A79" s="55" t="s">
        <v>244</v>
      </c>
      <c r="B79" s="91">
        <v>0</v>
      </c>
      <c r="C79" s="91">
        <v>0</v>
      </c>
      <c r="D79" s="91">
        <v>6</v>
      </c>
      <c r="E79" s="90">
        <v>6</v>
      </c>
      <c r="F79" s="91">
        <v>5912</v>
      </c>
      <c r="G79" s="91">
        <v>5152</v>
      </c>
      <c r="H79" s="91">
        <v>817</v>
      </c>
      <c r="I79" s="91">
        <v>81.699999999999989</v>
      </c>
      <c r="J79" s="91">
        <v>-57</v>
      </c>
      <c r="K79" s="91">
        <v>6013</v>
      </c>
      <c r="L79" s="91">
        <v>5825</v>
      </c>
      <c r="M79" s="91">
        <v>5580</v>
      </c>
      <c r="N79" s="91">
        <v>6301</v>
      </c>
      <c r="O79" s="91">
        <v>654</v>
      </c>
      <c r="P79" s="91">
        <v>170</v>
      </c>
      <c r="Q79" s="91">
        <v>0</v>
      </c>
      <c r="R79" s="91">
        <v>0</v>
      </c>
      <c r="S79" s="91">
        <v>-64</v>
      </c>
      <c r="T79" s="91">
        <v>0</v>
      </c>
      <c r="U79" s="91">
        <v>0</v>
      </c>
      <c r="V79" s="202">
        <v>0</v>
      </c>
      <c r="W79" s="91">
        <v>-7</v>
      </c>
      <c r="X79" s="91">
        <v>0</v>
      </c>
      <c r="Y79" s="91">
        <v>57</v>
      </c>
      <c r="Z79" s="91">
        <v>0</v>
      </c>
      <c r="AA79" s="91">
        <v>0</v>
      </c>
      <c r="AB79" s="91">
        <v>-7</v>
      </c>
      <c r="AC79" s="91">
        <v>-7</v>
      </c>
      <c r="AD79" s="91">
        <v>-7</v>
      </c>
      <c r="AE79" s="91">
        <v>-7</v>
      </c>
      <c r="AF79" s="91">
        <v>-7</v>
      </c>
      <c r="AG79" s="91">
        <v>-22</v>
      </c>
      <c r="AH79" s="84">
        <v>8.6</v>
      </c>
      <c r="AI79" s="97">
        <f t="shared" si="1"/>
        <v>760</v>
      </c>
    </row>
    <row r="80" spans="1:35">
      <c r="A80" s="55" t="s">
        <v>245</v>
      </c>
      <c r="B80" s="91">
        <v>0</v>
      </c>
      <c r="C80" s="91">
        <v>0</v>
      </c>
      <c r="D80" s="91">
        <v>26</v>
      </c>
      <c r="E80" s="90">
        <v>26</v>
      </c>
      <c r="F80" s="91">
        <v>317375</v>
      </c>
      <c r="G80" s="91">
        <v>299135</v>
      </c>
      <c r="H80" s="91">
        <v>32343</v>
      </c>
      <c r="I80" s="91">
        <v>2712.1100000000006</v>
      </c>
      <c r="J80" s="91">
        <v>-14103</v>
      </c>
      <c r="K80" s="91">
        <v>341965</v>
      </c>
      <c r="L80" s="91">
        <v>294076</v>
      </c>
      <c r="M80" s="91">
        <v>279672</v>
      </c>
      <c r="N80" s="91">
        <v>361643</v>
      </c>
      <c r="O80" s="91">
        <v>24478</v>
      </c>
      <c r="P80" s="91">
        <v>9450</v>
      </c>
      <c r="Q80" s="91">
        <v>0</v>
      </c>
      <c r="R80" s="91">
        <v>0</v>
      </c>
      <c r="S80" s="91">
        <v>-15688</v>
      </c>
      <c r="T80" s="91">
        <v>0</v>
      </c>
      <c r="U80" s="91">
        <v>0</v>
      </c>
      <c r="V80" s="202">
        <v>0</v>
      </c>
      <c r="W80" s="91">
        <v>-1585</v>
      </c>
      <c r="X80" s="91">
        <v>0</v>
      </c>
      <c r="Y80" s="91">
        <v>14103</v>
      </c>
      <c r="Z80" s="91">
        <v>0</v>
      </c>
      <c r="AA80" s="91">
        <v>0</v>
      </c>
      <c r="AB80" s="91">
        <v>-1585</v>
      </c>
      <c r="AC80" s="91">
        <v>-1585</v>
      </c>
      <c r="AD80" s="91">
        <v>-1585</v>
      </c>
      <c r="AE80" s="91">
        <v>-1585</v>
      </c>
      <c r="AF80" s="91">
        <v>-1585</v>
      </c>
      <c r="AG80" s="91">
        <v>-6178</v>
      </c>
      <c r="AH80" s="84">
        <v>9.9</v>
      </c>
      <c r="AI80" s="97">
        <f t="shared" si="1"/>
        <v>18240</v>
      </c>
    </row>
    <row r="81" spans="1:35">
      <c r="A81" s="55" t="s">
        <v>246</v>
      </c>
      <c r="B81" s="91">
        <v>0</v>
      </c>
      <c r="C81" s="91">
        <v>0</v>
      </c>
      <c r="D81" s="91">
        <v>5</v>
      </c>
      <c r="E81" s="90">
        <v>5</v>
      </c>
      <c r="F81" s="91">
        <v>10132</v>
      </c>
      <c r="G81" s="91">
        <v>9267</v>
      </c>
      <c r="H81" s="91">
        <v>1495</v>
      </c>
      <c r="I81" s="91">
        <v>129.17999999999998</v>
      </c>
      <c r="J81" s="91">
        <v>-630</v>
      </c>
      <c r="K81" s="91">
        <v>11214</v>
      </c>
      <c r="L81" s="91">
        <v>9139</v>
      </c>
      <c r="M81" s="91">
        <v>8408</v>
      </c>
      <c r="N81" s="91">
        <v>12242</v>
      </c>
      <c r="O81" s="91">
        <v>1249</v>
      </c>
      <c r="P81" s="91">
        <v>307</v>
      </c>
      <c r="Q81" s="91">
        <v>0</v>
      </c>
      <c r="R81" s="91">
        <v>0</v>
      </c>
      <c r="S81" s="91">
        <v>-691</v>
      </c>
      <c r="T81" s="91">
        <v>0</v>
      </c>
      <c r="U81" s="91">
        <v>0</v>
      </c>
      <c r="V81" s="202">
        <v>0</v>
      </c>
      <c r="W81" s="91">
        <v>-61</v>
      </c>
      <c r="X81" s="91">
        <v>0</v>
      </c>
      <c r="Y81" s="91">
        <v>630</v>
      </c>
      <c r="Z81" s="91">
        <v>0</v>
      </c>
      <c r="AA81" s="91">
        <v>0</v>
      </c>
      <c r="AB81" s="91">
        <v>-61</v>
      </c>
      <c r="AC81" s="91">
        <v>-61</v>
      </c>
      <c r="AD81" s="91">
        <v>-61</v>
      </c>
      <c r="AE81" s="91">
        <v>-61</v>
      </c>
      <c r="AF81" s="91">
        <v>-61</v>
      </c>
      <c r="AG81" s="91">
        <v>-325</v>
      </c>
      <c r="AH81" s="84">
        <v>11.4</v>
      </c>
      <c r="AI81" s="97">
        <f t="shared" si="1"/>
        <v>865</v>
      </c>
    </row>
    <row r="82" spans="1:35">
      <c r="A82" s="55" t="s">
        <v>247</v>
      </c>
      <c r="B82" s="91">
        <v>0</v>
      </c>
      <c r="C82" s="91">
        <v>0</v>
      </c>
      <c r="D82" s="91">
        <v>12</v>
      </c>
      <c r="E82" s="90">
        <v>12</v>
      </c>
      <c r="F82" s="91">
        <v>26107</v>
      </c>
      <c r="G82" s="91">
        <v>23647</v>
      </c>
      <c r="H82" s="91">
        <v>3502</v>
      </c>
      <c r="I82" s="91">
        <v>147.18000000000012</v>
      </c>
      <c r="J82" s="91">
        <v>-1042</v>
      </c>
      <c r="K82" s="91">
        <v>27944</v>
      </c>
      <c r="L82" s="91">
        <v>24316</v>
      </c>
      <c r="M82" s="91">
        <v>23113</v>
      </c>
      <c r="N82" s="91">
        <v>29627</v>
      </c>
      <c r="O82" s="91">
        <v>2854</v>
      </c>
      <c r="P82" s="91">
        <v>774</v>
      </c>
      <c r="Q82" s="91">
        <v>0</v>
      </c>
      <c r="R82" s="91">
        <v>0</v>
      </c>
      <c r="S82" s="91">
        <v>-1168</v>
      </c>
      <c r="T82" s="91">
        <v>0</v>
      </c>
      <c r="U82" s="91">
        <v>0</v>
      </c>
      <c r="V82" s="202">
        <v>0</v>
      </c>
      <c r="W82" s="91">
        <v>-126</v>
      </c>
      <c r="X82" s="91">
        <v>0</v>
      </c>
      <c r="Y82" s="91">
        <v>1042</v>
      </c>
      <c r="Z82" s="91">
        <v>0</v>
      </c>
      <c r="AA82" s="91">
        <v>0</v>
      </c>
      <c r="AB82" s="91">
        <v>-126</v>
      </c>
      <c r="AC82" s="91">
        <v>-126</v>
      </c>
      <c r="AD82" s="91">
        <v>-126</v>
      </c>
      <c r="AE82" s="91">
        <v>-126</v>
      </c>
      <c r="AF82" s="91">
        <v>-126</v>
      </c>
      <c r="AG82" s="91">
        <v>-412</v>
      </c>
      <c r="AH82" s="84">
        <v>9.3000000000000007</v>
      </c>
      <c r="AI82" s="97">
        <f t="shared" si="1"/>
        <v>2460</v>
      </c>
    </row>
    <row r="83" spans="1:35">
      <c r="A83" s="55" t="s">
        <v>248</v>
      </c>
      <c r="B83" s="91">
        <v>0</v>
      </c>
      <c r="C83" s="91">
        <v>0</v>
      </c>
      <c r="D83" s="91">
        <v>0</v>
      </c>
      <c r="E83" s="90">
        <v>0</v>
      </c>
      <c r="F83" s="91">
        <v>0</v>
      </c>
      <c r="G83" s="91">
        <v>0</v>
      </c>
      <c r="H83" s="91">
        <v>0</v>
      </c>
      <c r="I83" s="91">
        <v>0</v>
      </c>
      <c r="J83" s="91">
        <v>0</v>
      </c>
      <c r="K83" s="91">
        <v>0</v>
      </c>
      <c r="L83" s="91">
        <v>0</v>
      </c>
      <c r="M83" s="91">
        <v>0</v>
      </c>
      <c r="N83" s="91">
        <v>0</v>
      </c>
      <c r="O83" s="91">
        <v>0</v>
      </c>
      <c r="P83" s="91">
        <v>0</v>
      </c>
      <c r="Q83" s="91">
        <v>0</v>
      </c>
      <c r="R83" s="91">
        <v>0</v>
      </c>
      <c r="S83" s="91">
        <v>0</v>
      </c>
      <c r="T83" s="91">
        <v>0</v>
      </c>
      <c r="U83" s="91">
        <v>0</v>
      </c>
      <c r="V83" s="202">
        <v>0</v>
      </c>
      <c r="W83" s="91">
        <v>0</v>
      </c>
      <c r="X83" s="91">
        <v>0</v>
      </c>
      <c r="Y83" s="91">
        <v>0</v>
      </c>
      <c r="Z83" s="91">
        <v>0</v>
      </c>
      <c r="AA83" s="91">
        <v>0</v>
      </c>
      <c r="AB83" s="91">
        <v>0</v>
      </c>
      <c r="AC83" s="91">
        <v>0</v>
      </c>
      <c r="AD83" s="91">
        <v>0</v>
      </c>
      <c r="AE83" s="91">
        <v>0</v>
      </c>
      <c r="AF83" s="91">
        <v>0</v>
      </c>
      <c r="AG83" s="91">
        <v>0</v>
      </c>
      <c r="AH83" s="84">
        <v>1</v>
      </c>
      <c r="AI83" s="97">
        <f t="shared" si="1"/>
        <v>0</v>
      </c>
    </row>
    <row r="84" spans="1:35">
      <c r="A84" s="55" t="s">
        <v>249</v>
      </c>
      <c r="B84" s="91">
        <v>0</v>
      </c>
      <c r="C84" s="91">
        <v>0</v>
      </c>
      <c r="D84" s="91">
        <v>2</v>
      </c>
      <c r="E84" s="90">
        <v>2</v>
      </c>
      <c r="F84" s="91">
        <v>7821</v>
      </c>
      <c r="G84" s="91">
        <v>7553</v>
      </c>
      <c r="H84" s="91">
        <v>820</v>
      </c>
      <c r="I84" s="91">
        <v>0</v>
      </c>
      <c r="J84" s="91">
        <v>-552</v>
      </c>
      <c r="K84" s="91">
        <v>8766</v>
      </c>
      <c r="L84" s="91">
        <v>6987</v>
      </c>
      <c r="M84" s="91">
        <v>6507</v>
      </c>
      <c r="N84" s="91">
        <v>9480</v>
      </c>
      <c r="O84" s="91">
        <v>628</v>
      </c>
      <c r="P84" s="91">
        <v>239</v>
      </c>
      <c r="Q84" s="91">
        <v>0</v>
      </c>
      <c r="R84" s="91">
        <v>0</v>
      </c>
      <c r="S84" s="91">
        <v>-599</v>
      </c>
      <c r="T84" s="91">
        <v>0</v>
      </c>
      <c r="U84" s="91">
        <v>0</v>
      </c>
      <c r="V84" s="202">
        <v>0</v>
      </c>
      <c r="W84" s="91">
        <v>-47</v>
      </c>
      <c r="X84" s="91">
        <v>0</v>
      </c>
      <c r="Y84" s="91">
        <v>552</v>
      </c>
      <c r="Z84" s="91">
        <v>0</v>
      </c>
      <c r="AA84" s="91">
        <v>0</v>
      </c>
      <c r="AB84" s="91">
        <v>-47</v>
      </c>
      <c r="AC84" s="91">
        <v>-47</v>
      </c>
      <c r="AD84" s="91">
        <v>-47</v>
      </c>
      <c r="AE84" s="91">
        <v>-47</v>
      </c>
      <c r="AF84" s="91">
        <v>-47</v>
      </c>
      <c r="AG84" s="91">
        <v>-317</v>
      </c>
      <c r="AH84" s="84">
        <v>12.8</v>
      </c>
      <c r="AI84" s="97">
        <f t="shared" si="1"/>
        <v>268</v>
      </c>
    </row>
    <row r="85" spans="1:35">
      <c r="A85" s="55" t="s">
        <v>250</v>
      </c>
      <c r="B85" s="91">
        <v>0</v>
      </c>
      <c r="C85" s="91">
        <v>0</v>
      </c>
      <c r="D85" s="91">
        <v>103</v>
      </c>
      <c r="E85" s="90">
        <v>113</v>
      </c>
      <c r="F85" s="91">
        <v>401371</v>
      </c>
      <c r="G85" s="91">
        <v>379634</v>
      </c>
      <c r="H85" s="91">
        <v>40148</v>
      </c>
      <c r="I85" s="91">
        <v>3394.4199999999964</v>
      </c>
      <c r="J85" s="91">
        <v>-18411</v>
      </c>
      <c r="K85" s="91">
        <v>433880</v>
      </c>
      <c r="L85" s="91">
        <v>370494</v>
      </c>
      <c r="M85" s="91">
        <v>352121</v>
      </c>
      <c r="N85" s="91">
        <v>459834</v>
      </c>
      <c r="O85" s="91">
        <v>30294</v>
      </c>
      <c r="P85" s="91">
        <v>11970</v>
      </c>
      <c r="Q85" s="91">
        <v>0</v>
      </c>
      <c r="R85" s="91">
        <v>0</v>
      </c>
      <c r="S85" s="91">
        <v>-20527</v>
      </c>
      <c r="T85" s="91">
        <v>0</v>
      </c>
      <c r="U85" s="91">
        <v>0</v>
      </c>
      <c r="V85" s="202">
        <v>0</v>
      </c>
      <c r="W85" s="91">
        <v>-2116</v>
      </c>
      <c r="X85" s="91">
        <v>0</v>
      </c>
      <c r="Y85" s="91">
        <v>18411</v>
      </c>
      <c r="Z85" s="91">
        <v>0</v>
      </c>
      <c r="AA85" s="91">
        <v>0</v>
      </c>
      <c r="AB85" s="91">
        <v>-2116</v>
      </c>
      <c r="AC85" s="91">
        <v>-2116</v>
      </c>
      <c r="AD85" s="91">
        <v>-2116</v>
      </c>
      <c r="AE85" s="91">
        <v>-2116</v>
      </c>
      <c r="AF85" s="91">
        <v>-2116</v>
      </c>
      <c r="AG85" s="91">
        <v>-7831</v>
      </c>
      <c r="AH85" s="84">
        <v>9.6999999999999993</v>
      </c>
      <c r="AI85" s="97">
        <f t="shared" si="1"/>
        <v>21737</v>
      </c>
    </row>
    <row r="86" spans="1:35">
      <c r="A86" s="55" t="s">
        <v>251</v>
      </c>
      <c r="B86" s="91">
        <v>0</v>
      </c>
      <c r="C86" s="91">
        <v>0</v>
      </c>
      <c r="D86" s="91">
        <v>33</v>
      </c>
      <c r="E86" s="90">
        <v>38</v>
      </c>
      <c r="F86" s="91">
        <v>70909</v>
      </c>
      <c r="G86" s="91">
        <v>63369</v>
      </c>
      <c r="H86" s="91">
        <v>10646</v>
      </c>
      <c r="I86" s="91">
        <v>407.85000000000014</v>
      </c>
      <c r="J86" s="91">
        <v>-3106</v>
      </c>
      <c r="K86" s="91">
        <v>76222</v>
      </c>
      <c r="L86" s="91">
        <v>65880</v>
      </c>
      <c r="M86" s="91">
        <v>62489</v>
      </c>
      <c r="N86" s="91">
        <v>81049</v>
      </c>
      <c r="O86" s="91">
        <v>8842</v>
      </c>
      <c r="P86" s="91">
        <v>2109</v>
      </c>
      <c r="Q86" s="91">
        <v>0</v>
      </c>
      <c r="R86" s="91">
        <v>0</v>
      </c>
      <c r="S86" s="91">
        <v>-3411</v>
      </c>
      <c r="T86" s="91">
        <v>0</v>
      </c>
      <c r="U86" s="91">
        <v>0</v>
      </c>
      <c r="V86" s="202">
        <v>0</v>
      </c>
      <c r="W86" s="91">
        <v>-305</v>
      </c>
      <c r="X86" s="91">
        <v>0</v>
      </c>
      <c r="Y86" s="91">
        <v>3106</v>
      </c>
      <c r="Z86" s="91">
        <v>0</v>
      </c>
      <c r="AA86" s="91">
        <v>0</v>
      </c>
      <c r="AB86" s="91">
        <v>-305</v>
      </c>
      <c r="AC86" s="91">
        <v>-305</v>
      </c>
      <c r="AD86" s="91">
        <v>-305</v>
      </c>
      <c r="AE86" s="91">
        <v>-305</v>
      </c>
      <c r="AF86" s="91">
        <v>-305</v>
      </c>
      <c r="AG86" s="91">
        <v>-1581</v>
      </c>
      <c r="AH86" s="84">
        <v>11.2</v>
      </c>
      <c r="AI86" s="97">
        <f t="shared" si="1"/>
        <v>7540</v>
      </c>
    </row>
    <row r="87" spans="1:35">
      <c r="A87" s="55" t="s">
        <v>252</v>
      </c>
      <c r="B87" s="91">
        <v>0</v>
      </c>
      <c r="C87" s="91">
        <v>0</v>
      </c>
      <c r="D87" s="91">
        <v>0</v>
      </c>
      <c r="E87" s="90">
        <v>0</v>
      </c>
      <c r="F87" s="91">
        <v>0</v>
      </c>
      <c r="G87" s="91">
        <v>0</v>
      </c>
      <c r="H87" s="91">
        <v>0</v>
      </c>
      <c r="I87" s="91">
        <v>0</v>
      </c>
      <c r="J87" s="91">
        <v>0</v>
      </c>
      <c r="K87" s="91">
        <v>0</v>
      </c>
      <c r="L87" s="91">
        <v>0</v>
      </c>
      <c r="M87" s="91">
        <v>0</v>
      </c>
      <c r="N87" s="91">
        <v>0</v>
      </c>
      <c r="O87" s="91">
        <v>0</v>
      </c>
      <c r="P87" s="91">
        <v>0</v>
      </c>
      <c r="Q87" s="91">
        <v>0</v>
      </c>
      <c r="R87" s="91">
        <v>0</v>
      </c>
      <c r="S87" s="91">
        <v>0</v>
      </c>
      <c r="T87" s="91">
        <v>0</v>
      </c>
      <c r="U87" s="91">
        <v>0</v>
      </c>
      <c r="V87" s="202">
        <v>0</v>
      </c>
      <c r="W87" s="91">
        <v>0</v>
      </c>
      <c r="X87" s="91">
        <v>0</v>
      </c>
      <c r="Y87" s="91">
        <v>0</v>
      </c>
      <c r="Z87" s="91">
        <v>0</v>
      </c>
      <c r="AA87" s="91">
        <v>0</v>
      </c>
      <c r="AB87" s="91">
        <v>0</v>
      </c>
      <c r="AC87" s="91">
        <v>0</v>
      </c>
      <c r="AD87" s="91">
        <v>0</v>
      </c>
      <c r="AE87" s="91">
        <v>0</v>
      </c>
      <c r="AF87" s="91">
        <v>0</v>
      </c>
      <c r="AG87" s="91">
        <v>0</v>
      </c>
      <c r="AH87" s="84">
        <v>1</v>
      </c>
      <c r="AI87" s="97">
        <f t="shared" si="1"/>
        <v>0</v>
      </c>
    </row>
    <row r="88" spans="1:35">
      <c r="A88" s="55" t="s">
        <v>253</v>
      </c>
      <c r="B88" s="91">
        <v>0</v>
      </c>
      <c r="C88" s="91">
        <v>0</v>
      </c>
      <c r="D88" s="91">
        <v>0</v>
      </c>
      <c r="E88" s="90">
        <v>0</v>
      </c>
      <c r="F88" s="91">
        <v>0</v>
      </c>
      <c r="G88" s="91">
        <v>0</v>
      </c>
      <c r="H88" s="91">
        <v>0</v>
      </c>
      <c r="I88" s="91">
        <v>0</v>
      </c>
      <c r="J88" s="91">
        <v>0</v>
      </c>
      <c r="K88" s="91">
        <v>0</v>
      </c>
      <c r="L88" s="91">
        <v>0</v>
      </c>
      <c r="M88" s="91">
        <v>0</v>
      </c>
      <c r="N88" s="91">
        <v>0</v>
      </c>
      <c r="O88" s="91">
        <v>0</v>
      </c>
      <c r="P88" s="91">
        <v>0</v>
      </c>
      <c r="Q88" s="91">
        <v>0</v>
      </c>
      <c r="R88" s="91">
        <v>0</v>
      </c>
      <c r="S88" s="91">
        <v>0</v>
      </c>
      <c r="T88" s="91">
        <v>0</v>
      </c>
      <c r="U88" s="91">
        <v>0</v>
      </c>
      <c r="V88" s="202">
        <v>0</v>
      </c>
      <c r="W88" s="91">
        <v>0</v>
      </c>
      <c r="X88" s="91">
        <v>0</v>
      </c>
      <c r="Y88" s="91">
        <v>0</v>
      </c>
      <c r="Z88" s="91">
        <v>0</v>
      </c>
      <c r="AA88" s="91">
        <v>0</v>
      </c>
      <c r="AB88" s="91">
        <v>0</v>
      </c>
      <c r="AC88" s="91">
        <v>0</v>
      </c>
      <c r="AD88" s="91">
        <v>0</v>
      </c>
      <c r="AE88" s="91">
        <v>0</v>
      </c>
      <c r="AF88" s="91">
        <v>0</v>
      </c>
      <c r="AG88" s="91">
        <v>0</v>
      </c>
      <c r="AH88" s="84">
        <v>1</v>
      </c>
      <c r="AI88" s="97">
        <f t="shared" si="1"/>
        <v>0</v>
      </c>
    </row>
    <row r="89" spans="1:35">
      <c r="A89" s="55" t="s">
        <v>254</v>
      </c>
      <c r="B89" s="91">
        <v>0</v>
      </c>
      <c r="C89" s="91">
        <v>0</v>
      </c>
      <c r="D89" s="91">
        <v>1</v>
      </c>
      <c r="E89" s="90">
        <v>1</v>
      </c>
      <c r="F89" s="91">
        <v>0</v>
      </c>
      <c r="G89" s="91">
        <v>0</v>
      </c>
      <c r="H89" s="91">
        <v>0</v>
      </c>
      <c r="I89" s="91">
        <v>0</v>
      </c>
      <c r="J89" s="91">
        <v>0</v>
      </c>
      <c r="K89" s="91">
        <v>0</v>
      </c>
      <c r="L89" s="91">
        <v>0</v>
      </c>
      <c r="M89" s="91">
        <v>0</v>
      </c>
      <c r="N89" s="91">
        <v>0</v>
      </c>
      <c r="O89" s="91">
        <v>0</v>
      </c>
      <c r="P89" s="91">
        <v>0</v>
      </c>
      <c r="Q89" s="91">
        <v>0</v>
      </c>
      <c r="R89" s="91">
        <v>0</v>
      </c>
      <c r="S89" s="91">
        <v>0</v>
      </c>
      <c r="T89" s="91">
        <v>0</v>
      </c>
      <c r="U89" s="91">
        <v>0</v>
      </c>
      <c r="V89" s="202">
        <v>0</v>
      </c>
      <c r="W89" s="91">
        <v>0</v>
      </c>
      <c r="X89" s="91">
        <v>0</v>
      </c>
      <c r="Y89" s="91">
        <v>0</v>
      </c>
      <c r="Z89" s="91">
        <v>0</v>
      </c>
      <c r="AA89" s="91">
        <v>0</v>
      </c>
      <c r="AB89" s="91">
        <v>0</v>
      </c>
      <c r="AC89" s="91">
        <v>0</v>
      </c>
      <c r="AD89" s="91">
        <v>0</v>
      </c>
      <c r="AE89" s="91">
        <v>0</v>
      </c>
      <c r="AF89" s="91">
        <v>0</v>
      </c>
      <c r="AG89" s="91">
        <v>0</v>
      </c>
      <c r="AH89" s="84">
        <v>14.1</v>
      </c>
      <c r="AI89" s="97">
        <f t="shared" si="1"/>
        <v>0</v>
      </c>
    </row>
    <row r="90" spans="1:35">
      <c r="A90" s="55" t="s">
        <v>255</v>
      </c>
      <c r="B90" s="91">
        <v>0</v>
      </c>
      <c r="C90" s="91">
        <v>0</v>
      </c>
      <c r="D90" s="91">
        <v>23</v>
      </c>
      <c r="E90" s="90">
        <v>26</v>
      </c>
      <c r="F90" s="91">
        <v>31434</v>
      </c>
      <c r="G90" s="91">
        <v>29083</v>
      </c>
      <c r="H90" s="91">
        <v>3556</v>
      </c>
      <c r="I90" s="91">
        <v>125.11000000000018</v>
      </c>
      <c r="J90" s="91">
        <v>-1205</v>
      </c>
      <c r="K90" s="91">
        <v>33511</v>
      </c>
      <c r="L90" s="91">
        <v>29392</v>
      </c>
      <c r="M90" s="91">
        <v>27887</v>
      </c>
      <c r="N90" s="91">
        <v>35570</v>
      </c>
      <c r="O90" s="91">
        <v>2746</v>
      </c>
      <c r="P90" s="91">
        <v>929</v>
      </c>
      <c r="Q90" s="91">
        <v>0</v>
      </c>
      <c r="R90" s="91">
        <v>0</v>
      </c>
      <c r="S90" s="91">
        <v>-1324</v>
      </c>
      <c r="T90" s="91">
        <v>0</v>
      </c>
      <c r="U90" s="91">
        <v>0</v>
      </c>
      <c r="V90" s="202">
        <v>0</v>
      </c>
      <c r="W90" s="91">
        <v>-119</v>
      </c>
      <c r="X90" s="91">
        <v>0</v>
      </c>
      <c r="Y90" s="91">
        <v>1205</v>
      </c>
      <c r="Z90" s="91">
        <v>0</v>
      </c>
      <c r="AA90" s="91">
        <v>0</v>
      </c>
      <c r="AB90" s="91">
        <v>-119</v>
      </c>
      <c r="AC90" s="91">
        <v>-119</v>
      </c>
      <c r="AD90" s="91">
        <v>-119</v>
      </c>
      <c r="AE90" s="91">
        <v>-119</v>
      </c>
      <c r="AF90" s="91">
        <v>-119</v>
      </c>
      <c r="AG90" s="91">
        <v>-610</v>
      </c>
      <c r="AH90" s="84">
        <v>11.1</v>
      </c>
      <c r="AI90" s="97">
        <f t="shared" si="1"/>
        <v>2351</v>
      </c>
    </row>
    <row r="91" spans="1:35">
      <c r="A91" s="55" t="s">
        <v>256</v>
      </c>
      <c r="B91" s="91">
        <v>0</v>
      </c>
      <c r="C91" s="91">
        <v>0</v>
      </c>
      <c r="D91" s="91">
        <v>1</v>
      </c>
      <c r="E91" s="90">
        <v>1</v>
      </c>
      <c r="F91" s="91">
        <v>6363</v>
      </c>
      <c r="G91" s="91">
        <v>6194</v>
      </c>
      <c r="H91" s="91">
        <v>375</v>
      </c>
      <c r="I91" s="91">
        <v>0.42999999999999972</v>
      </c>
      <c r="J91" s="91">
        <v>-206</v>
      </c>
      <c r="K91" s="91">
        <v>6736</v>
      </c>
      <c r="L91" s="91">
        <v>5976</v>
      </c>
      <c r="M91" s="91">
        <v>5751</v>
      </c>
      <c r="N91" s="91">
        <v>7028</v>
      </c>
      <c r="O91" s="91">
        <v>214</v>
      </c>
      <c r="P91" s="91">
        <v>187</v>
      </c>
      <c r="Q91" s="91">
        <v>0</v>
      </c>
      <c r="R91" s="91">
        <v>0</v>
      </c>
      <c r="S91" s="91">
        <v>-232</v>
      </c>
      <c r="T91" s="91">
        <v>0</v>
      </c>
      <c r="U91" s="91">
        <v>0</v>
      </c>
      <c r="V91" s="202">
        <v>0</v>
      </c>
      <c r="W91" s="91">
        <v>-26</v>
      </c>
      <c r="X91" s="91">
        <v>0</v>
      </c>
      <c r="Y91" s="91">
        <v>206</v>
      </c>
      <c r="Z91" s="91">
        <v>0</v>
      </c>
      <c r="AA91" s="91">
        <v>0</v>
      </c>
      <c r="AB91" s="91">
        <v>-26</v>
      </c>
      <c r="AC91" s="91">
        <v>-26</v>
      </c>
      <c r="AD91" s="91">
        <v>-26</v>
      </c>
      <c r="AE91" s="91">
        <v>-26</v>
      </c>
      <c r="AF91" s="91">
        <v>-26</v>
      </c>
      <c r="AG91" s="91">
        <v>-76</v>
      </c>
      <c r="AH91" s="84">
        <v>8.9</v>
      </c>
      <c r="AI91" s="97">
        <f t="shared" si="1"/>
        <v>169</v>
      </c>
    </row>
    <row r="92" spans="1:35">
      <c r="A92" s="55" t="s">
        <v>257</v>
      </c>
      <c r="B92" s="91">
        <v>0</v>
      </c>
      <c r="C92" s="91">
        <v>0</v>
      </c>
      <c r="D92" s="91">
        <v>2</v>
      </c>
      <c r="E92" s="90">
        <v>2</v>
      </c>
      <c r="F92" s="91">
        <v>1559</v>
      </c>
      <c r="G92" s="91">
        <v>1493</v>
      </c>
      <c r="H92" s="91">
        <v>199</v>
      </c>
      <c r="I92" s="91">
        <v>0.52999999999999936</v>
      </c>
      <c r="J92" s="91">
        <v>-133</v>
      </c>
      <c r="K92" s="91">
        <v>1784</v>
      </c>
      <c r="L92" s="91">
        <v>1361</v>
      </c>
      <c r="M92" s="91">
        <v>1245</v>
      </c>
      <c r="N92" s="91">
        <v>1965</v>
      </c>
      <c r="O92" s="91">
        <v>166</v>
      </c>
      <c r="P92" s="91">
        <v>48</v>
      </c>
      <c r="Q92" s="91">
        <v>0</v>
      </c>
      <c r="R92" s="91">
        <v>0</v>
      </c>
      <c r="S92" s="91">
        <v>-148</v>
      </c>
      <c r="T92" s="91">
        <v>0</v>
      </c>
      <c r="U92" s="91">
        <v>0</v>
      </c>
      <c r="V92" s="202">
        <v>0</v>
      </c>
      <c r="W92" s="91">
        <v>-15</v>
      </c>
      <c r="X92" s="91">
        <v>0</v>
      </c>
      <c r="Y92" s="91">
        <v>133</v>
      </c>
      <c r="Z92" s="91">
        <v>0</v>
      </c>
      <c r="AA92" s="91">
        <v>0</v>
      </c>
      <c r="AB92" s="91">
        <v>-15</v>
      </c>
      <c r="AC92" s="91">
        <v>-15</v>
      </c>
      <c r="AD92" s="91">
        <v>-15</v>
      </c>
      <c r="AE92" s="91">
        <v>-15</v>
      </c>
      <c r="AF92" s="91">
        <v>-15</v>
      </c>
      <c r="AG92" s="91">
        <v>-58</v>
      </c>
      <c r="AH92" s="84">
        <v>10.1</v>
      </c>
      <c r="AI92" s="97">
        <f t="shared" si="1"/>
        <v>66</v>
      </c>
    </row>
    <row r="93" spans="1:35">
      <c r="A93" s="55" t="s">
        <v>258</v>
      </c>
      <c r="B93" s="91">
        <v>0</v>
      </c>
      <c r="C93" s="91">
        <v>0</v>
      </c>
      <c r="D93" s="91">
        <v>8</v>
      </c>
      <c r="E93" s="90">
        <v>9</v>
      </c>
      <c r="F93" s="91">
        <v>45159</v>
      </c>
      <c r="G93" s="91">
        <v>43395</v>
      </c>
      <c r="H93" s="91">
        <v>3619</v>
      </c>
      <c r="I93" s="91">
        <v>17.920000000000073</v>
      </c>
      <c r="J93" s="91">
        <v>-1855</v>
      </c>
      <c r="K93" s="91">
        <v>48336</v>
      </c>
      <c r="L93" s="91">
        <v>41950</v>
      </c>
      <c r="M93" s="91">
        <v>39867</v>
      </c>
      <c r="N93" s="91">
        <v>51271</v>
      </c>
      <c r="O93" s="91">
        <v>2503</v>
      </c>
      <c r="P93" s="91">
        <v>1340</v>
      </c>
      <c r="Q93" s="91">
        <v>0</v>
      </c>
      <c r="R93" s="91">
        <v>0</v>
      </c>
      <c r="S93" s="91">
        <v>-2079</v>
      </c>
      <c r="T93" s="91">
        <v>0</v>
      </c>
      <c r="U93" s="91">
        <v>0</v>
      </c>
      <c r="V93" s="202">
        <v>0</v>
      </c>
      <c r="W93" s="91">
        <v>-224</v>
      </c>
      <c r="X93" s="91">
        <v>0</v>
      </c>
      <c r="Y93" s="91">
        <v>1855</v>
      </c>
      <c r="Z93" s="91">
        <v>0</v>
      </c>
      <c r="AA93" s="91">
        <v>0</v>
      </c>
      <c r="AB93" s="91">
        <v>-224</v>
      </c>
      <c r="AC93" s="91">
        <v>-224</v>
      </c>
      <c r="AD93" s="91">
        <v>-224</v>
      </c>
      <c r="AE93" s="91">
        <v>-224</v>
      </c>
      <c r="AF93" s="91">
        <v>-224</v>
      </c>
      <c r="AG93" s="91">
        <v>-735</v>
      </c>
      <c r="AH93" s="84">
        <v>9.3000000000000007</v>
      </c>
      <c r="AI93" s="97">
        <f t="shared" si="1"/>
        <v>1764</v>
      </c>
    </row>
    <row r="94" spans="1:35">
      <c r="A94" s="55" t="s">
        <v>259</v>
      </c>
      <c r="B94" s="91">
        <v>0</v>
      </c>
      <c r="C94" s="91">
        <v>0</v>
      </c>
      <c r="D94" s="91">
        <v>0</v>
      </c>
      <c r="E94" s="90">
        <v>0</v>
      </c>
      <c r="F94" s="91">
        <v>0</v>
      </c>
      <c r="G94" s="91">
        <v>0</v>
      </c>
      <c r="H94" s="91">
        <v>0</v>
      </c>
      <c r="I94" s="91">
        <v>0</v>
      </c>
      <c r="J94" s="91">
        <v>0</v>
      </c>
      <c r="K94" s="91">
        <v>0</v>
      </c>
      <c r="L94" s="91">
        <v>0</v>
      </c>
      <c r="M94" s="91">
        <v>0</v>
      </c>
      <c r="N94" s="91">
        <v>0</v>
      </c>
      <c r="O94" s="91">
        <v>0</v>
      </c>
      <c r="P94" s="91">
        <v>0</v>
      </c>
      <c r="Q94" s="91">
        <v>0</v>
      </c>
      <c r="R94" s="91">
        <v>0</v>
      </c>
      <c r="S94" s="91">
        <v>0</v>
      </c>
      <c r="T94" s="91">
        <v>0</v>
      </c>
      <c r="U94" s="91">
        <v>0</v>
      </c>
      <c r="V94" s="202">
        <v>0</v>
      </c>
      <c r="W94" s="91">
        <v>0</v>
      </c>
      <c r="X94" s="91">
        <v>0</v>
      </c>
      <c r="Y94" s="91">
        <v>0</v>
      </c>
      <c r="Z94" s="91">
        <v>0</v>
      </c>
      <c r="AA94" s="91">
        <v>0</v>
      </c>
      <c r="AB94" s="91">
        <v>0</v>
      </c>
      <c r="AC94" s="91">
        <v>0</v>
      </c>
      <c r="AD94" s="91">
        <v>0</v>
      </c>
      <c r="AE94" s="91">
        <v>0</v>
      </c>
      <c r="AF94" s="91">
        <v>0</v>
      </c>
      <c r="AG94" s="91">
        <v>0</v>
      </c>
      <c r="AH94" s="84">
        <v>1</v>
      </c>
      <c r="AI94" s="97">
        <f t="shared" si="1"/>
        <v>0</v>
      </c>
    </row>
    <row r="95" spans="1:35">
      <c r="A95" s="55" t="s">
        <v>260</v>
      </c>
      <c r="B95" s="91">
        <v>0</v>
      </c>
      <c r="C95" s="91">
        <v>0</v>
      </c>
      <c r="D95" s="91">
        <v>0</v>
      </c>
      <c r="E95" s="90">
        <v>0</v>
      </c>
      <c r="F95" s="91">
        <v>0</v>
      </c>
      <c r="G95" s="91">
        <v>0</v>
      </c>
      <c r="H95" s="91">
        <v>0</v>
      </c>
      <c r="I95" s="91">
        <v>0</v>
      </c>
      <c r="J95" s="91">
        <v>0</v>
      </c>
      <c r="K95" s="91">
        <v>0</v>
      </c>
      <c r="L95" s="91">
        <v>0</v>
      </c>
      <c r="M95" s="91">
        <v>0</v>
      </c>
      <c r="N95" s="91">
        <v>0</v>
      </c>
      <c r="O95" s="91">
        <v>0</v>
      </c>
      <c r="P95" s="91">
        <v>0</v>
      </c>
      <c r="Q95" s="91">
        <v>0</v>
      </c>
      <c r="R95" s="91">
        <v>0</v>
      </c>
      <c r="S95" s="91">
        <v>0</v>
      </c>
      <c r="T95" s="91">
        <v>0</v>
      </c>
      <c r="U95" s="91">
        <v>0</v>
      </c>
      <c r="V95" s="202">
        <v>0</v>
      </c>
      <c r="W95" s="91">
        <v>0</v>
      </c>
      <c r="X95" s="91">
        <v>0</v>
      </c>
      <c r="Y95" s="91">
        <v>0</v>
      </c>
      <c r="Z95" s="91">
        <v>0</v>
      </c>
      <c r="AA95" s="91">
        <v>0</v>
      </c>
      <c r="AB95" s="91">
        <v>0</v>
      </c>
      <c r="AC95" s="91">
        <v>0</v>
      </c>
      <c r="AD95" s="91">
        <v>0</v>
      </c>
      <c r="AE95" s="91">
        <v>0</v>
      </c>
      <c r="AF95" s="91">
        <v>0</v>
      </c>
      <c r="AG95" s="91">
        <v>0</v>
      </c>
      <c r="AH95" s="84">
        <v>1</v>
      </c>
      <c r="AI95" s="97">
        <f t="shared" si="1"/>
        <v>0</v>
      </c>
    </row>
    <row r="96" spans="1:35">
      <c r="A96" s="55" t="s">
        <v>261</v>
      </c>
      <c r="B96" s="91">
        <v>2</v>
      </c>
      <c r="C96" s="91">
        <v>0</v>
      </c>
      <c r="D96" s="91">
        <v>59</v>
      </c>
      <c r="E96" s="90">
        <v>62</v>
      </c>
      <c r="F96" s="91">
        <v>318423</v>
      </c>
      <c r="G96" s="91">
        <v>310692</v>
      </c>
      <c r="H96" s="91">
        <v>36036</v>
      </c>
      <c r="I96" s="91">
        <v>9268.06</v>
      </c>
      <c r="J96" s="91">
        <v>-12102</v>
      </c>
      <c r="K96" s="91">
        <v>339658</v>
      </c>
      <c r="L96" s="91">
        <v>298035</v>
      </c>
      <c r="M96" s="91">
        <v>285055</v>
      </c>
      <c r="N96" s="91">
        <v>357173</v>
      </c>
      <c r="O96" s="91">
        <v>27829</v>
      </c>
      <c r="P96" s="91">
        <v>9648</v>
      </c>
      <c r="Q96" s="91">
        <v>0</v>
      </c>
      <c r="R96" s="91">
        <v>0</v>
      </c>
      <c r="S96" s="91">
        <v>-13543</v>
      </c>
      <c r="T96" s="91">
        <v>16203</v>
      </c>
      <c r="U96" s="91">
        <v>0</v>
      </c>
      <c r="V96" s="202">
        <v>0</v>
      </c>
      <c r="W96" s="91">
        <v>-1441</v>
      </c>
      <c r="X96" s="91">
        <v>0</v>
      </c>
      <c r="Y96" s="91">
        <v>12102</v>
      </c>
      <c r="Z96" s="91">
        <v>0</v>
      </c>
      <c r="AA96" s="91">
        <v>0</v>
      </c>
      <c r="AB96" s="91">
        <v>-1441</v>
      </c>
      <c r="AC96" s="91">
        <v>-1441</v>
      </c>
      <c r="AD96" s="91">
        <v>-1441</v>
      </c>
      <c r="AE96" s="91">
        <v>-1441</v>
      </c>
      <c r="AF96" s="91">
        <v>-1441</v>
      </c>
      <c r="AG96" s="91">
        <v>-4897</v>
      </c>
      <c r="AH96" s="84">
        <v>9.4</v>
      </c>
      <c r="AI96" s="97">
        <f t="shared" si="1"/>
        <v>7731</v>
      </c>
    </row>
    <row r="97" spans="1:35">
      <c r="A97" s="55" t="s">
        <v>262</v>
      </c>
      <c r="B97" s="91">
        <v>7</v>
      </c>
      <c r="C97" s="91">
        <v>0</v>
      </c>
      <c r="D97" s="91">
        <v>66</v>
      </c>
      <c r="E97" s="90">
        <v>74</v>
      </c>
      <c r="F97" s="91">
        <v>1142869</v>
      </c>
      <c r="G97" s="91">
        <v>1166042</v>
      </c>
      <c r="H97" s="91">
        <v>83496</v>
      </c>
      <c r="I97" s="91">
        <v>68551.09</v>
      </c>
      <c r="J97" s="91">
        <v>-36601</v>
      </c>
      <c r="K97" s="91">
        <v>1207678</v>
      </c>
      <c r="L97" s="91">
        <v>1079816</v>
      </c>
      <c r="M97" s="91">
        <v>1045427</v>
      </c>
      <c r="N97" s="91">
        <v>1254911</v>
      </c>
      <c r="O97" s="91">
        <v>53657</v>
      </c>
      <c r="P97" s="91">
        <v>34592</v>
      </c>
      <c r="Q97" s="91">
        <v>0</v>
      </c>
      <c r="R97" s="91">
        <v>0</v>
      </c>
      <c r="S97" s="91">
        <v>-41354</v>
      </c>
      <c r="T97" s="91">
        <v>70068</v>
      </c>
      <c r="U97" s="91">
        <v>0</v>
      </c>
      <c r="V97" s="202">
        <v>0</v>
      </c>
      <c r="W97" s="91">
        <v>-4753</v>
      </c>
      <c r="X97" s="91">
        <v>0</v>
      </c>
      <c r="Y97" s="91">
        <v>36601</v>
      </c>
      <c r="Z97" s="91">
        <v>0</v>
      </c>
      <c r="AA97" s="91">
        <v>0</v>
      </c>
      <c r="AB97" s="91">
        <v>-4753</v>
      </c>
      <c r="AC97" s="91">
        <v>-4753</v>
      </c>
      <c r="AD97" s="91">
        <v>-4753</v>
      </c>
      <c r="AE97" s="91">
        <v>-4753</v>
      </c>
      <c r="AF97" s="91">
        <v>-4753</v>
      </c>
      <c r="AG97" s="91">
        <v>-12836</v>
      </c>
      <c r="AH97" s="84">
        <v>8.6999999999999993</v>
      </c>
      <c r="AI97" s="97">
        <f t="shared" si="1"/>
        <v>-23173</v>
      </c>
    </row>
    <row r="98" spans="1:35">
      <c r="A98" s="55" t="s">
        <v>263</v>
      </c>
      <c r="B98" s="91">
        <v>0</v>
      </c>
      <c r="C98" s="91">
        <v>0</v>
      </c>
      <c r="D98" s="91">
        <v>41</v>
      </c>
      <c r="E98" s="90">
        <v>46</v>
      </c>
      <c r="F98" s="91">
        <v>108087</v>
      </c>
      <c r="G98" s="91">
        <v>102561</v>
      </c>
      <c r="H98" s="91">
        <v>11620</v>
      </c>
      <c r="I98" s="91">
        <v>392.60000000000036</v>
      </c>
      <c r="J98" s="91">
        <v>-6094</v>
      </c>
      <c r="K98" s="91">
        <v>118809</v>
      </c>
      <c r="L98" s="91">
        <v>98328</v>
      </c>
      <c r="M98" s="91">
        <v>92949</v>
      </c>
      <c r="N98" s="91">
        <v>126523</v>
      </c>
      <c r="O98" s="91">
        <v>9004</v>
      </c>
      <c r="P98" s="91">
        <v>3258</v>
      </c>
      <c r="Q98" s="91">
        <v>0</v>
      </c>
      <c r="R98" s="91">
        <v>0</v>
      </c>
      <c r="S98" s="91">
        <v>-6736</v>
      </c>
      <c r="T98" s="91">
        <v>0</v>
      </c>
      <c r="U98" s="91">
        <v>0</v>
      </c>
      <c r="V98" s="202">
        <v>0</v>
      </c>
      <c r="W98" s="91">
        <v>-642</v>
      </c>
      <c r="X98" s="91">
        <v>0</v>
      </c>
      <c r="Y98" s="91">
        <v>6094</v>
      </c>
      <c r="Z98" s="91">
        <v>0</v>
      </c>
      <c r="AA98" s="91">
        <v>0</v>
      </c>
      <c r="AB98" s="91">
        <v>-642</v>
      </c>
      <c r="AC98" s="91">
        <v>-642</v>
      </c>
      <c r="AD98" s="91">
        <v>-642</v>
      </c>
      <c r="AE98" s="91">
        <v>-642</v>
      </c>
      <c r="AF98" s="91">
        <v>-642</v>
      </c>
      <c r="AG98" s="91">
        <v>-2884</v>
      </c>
      <c r="AH98" s="84">
        <v>10.5</v>
      </c>
      <c r="AI98" s="97">
        <f t="shared" si="1"/>
        <v>5526</v>
      </c>
    </row>
    <row r="99" spans="1:35">
      <c r="A99" s="55" t="s">
        <v>264</v>
      </c>
      <c r="B99" s="91">
        <v>2</v>
      </c>
      <c r="C99" s="91">
        <v>0</v>
      </c>
      <c r="D99" s="91">
        <v>49</v>
      </c>
      <c r="E99" s="90">
        <v>59</v>
      </c>
      <c r="F99" s="91">
        <v>156368</v>
      </c>
      <c r="G99" s="91">
        <v>155974</v>
      </c>
      <c r="H99" s="91">
        <v>18347</v>
      </c>
      <c r="I99" s="91">
        <v>8104.0400000000027</v>
      </c>
      <c r="J99" s="91">
        <v>-8612</v>
      </c>
      <c r="K99" s="91">
        <v>171366</v>
      </c>
      <c r="L99" s="91">
        <v>142474</v>
      </c>
      <c r="M99" s="91">
        <v>134847</v>
      </c>
      <c r="N99" s="91">
        <v>182537</v>
      </c>
      <c r="O99" s="91">
        <v>14379</v>
      </c>
      <c r="P99" s="91">
        <v>4838</v>
      </c>
      <c r="Q99" s="91">
        <v>0</v>
      </c>
      <c r="R99" s="91">
        <v>0</v>
      </c>
      <c r="S99" s="91">
        <v>-9482</v>
      </c>
      <c r="T99" s="91">
        <v>9341</v>
      </c>
      <c r="U99" s="91">
        <v>0</v>
      </c>
      <c r="V99" s="202">
        <v>0</v>
      </c>
      <c r="W99" s="91">
        <v>-870</v>
      </c>
      <c r="X99" s="91">
        <v>0</v>
      </c>
      <c r="Y99" s="91">
        <v>8612</v>
      </c>
      <c r="Z99" s="91">
        <v>0</v>
      </c>
      <c r="AA99" s="91">
        <v>0</v>
      </c>
      <c r="AB99" s="91">
        <v>-870</v>
      </c>
      <c r="AC99" s="91">
        <v>-870</v>
      </c>
      <c r="AD99" s="91">
        <v>-870</v>
      </c>
      <c r="AE99" s="91">
        <v>-870</v>
      </c>
      <c r="AF99" s="91">
        <v>-870</v>
      </c>
      <c r="AG99" s="91">
        <v>-4262</v>
      </c>
      <c r="AH99" s="84">
        <v>10.9</v>
      </c>
      <c r="AI99" s="97">
        <f t="shared" si="1"/>
        <v>394</v>
      </c>
    </row>
    <row r="100" spans="1:35">
      <c r="A100" s="55" t="s">
        <v>265</v>
      </c>
      <c r="B100" s="91">
        <v>1</v>
      </c>
      <c r="C100" s="91">
        <v>0</v>
      </c>
      <c r="D100" s="91">
        <v>63</v>
      </c>
      <c r="E100" s="90">
        <v>65</v>
      </c>
      <c r="F100" s="91">
        <v>238891</v>
      </c>
      <c r="G100" s="91">
        <v>231645</v>
      </c>
      <c r="H100" s="91">
        <v>22963</v>
      </c>
      <c r="I100" s="91">
        <v>5796.340000000002</v>
      </c>
      <c r="J100" s="91">
        <v>-11410</v>
      </c>
      <c r="K100" s="91">
        <v>258932</v>
      </c>
      <c r="L100" s="91">
        <v>219905</v>
      </c>
      <c r="M100" s="91">
        <v>208920</v>
      </c>
      <c r="N100" s="91">
        <v>274587</v>
      </c>
      <c r="O100" s="91">
        <v>17061</v>
      </c>
      <c r="P100" s="91">
        <v>7199</v>
      </c>
      <c r="Q100" s="91">
        <v>0</v>
      </c>
      <c r="R100" s="91">
        <v>0</v>
      </c>
      <c r="S100" s="91">
        <v>-12707</v>
      </c>
      <c r="T100" s="91">
        <v>4307</v>
      </c>
      <c r="U100" s="91">
        <v>0</v>
      </c>
      <c r="V100" s="202">
        <v>0</v>
      </c>
      <c r="W100" s="91">
        <v>-1297</v>
      </c>
      <c r="X100" s="91">
        <v>0</v>
      </c>
      <c r="Y100" s="91">
        <v>11410</v>
      </c>
      <c r="Z100" s="91">
        <v>0</v>
      </c>
      <c r="AA100" s="91">
        <v>0</v>
      </c>
      <c r="AB100" s="91">
        <v>-1297</v>
      </c>
      <c r="AC100" s="91">
        <v>-1297</v>
      </c>
      <c r="AD100" s="91">
        <v>-1297</v>
      </c>
      <c r="AE100" s="91">
        <v>-1297</v>
      </c>
      <c r="AF100" s="91">
        <v>-1297</v>
      </c>
      <c r="AG100" s="91">
        <v>-4925</v>
      </c>
      <c r="AH100" s="84">
        <v>9.8000000000000007</v>
      </c>
      <c r="AI100" s="97">
        <f t="shared" si="1"/>
        <v>7246</v>
      </c>
    </row>
    <row r="101" spans="1:35">
      <c r="A101" s="55" t="s">
        <v>266</v>
      </c>
      <c r="B101" s="91">
        <v>0</v>
      </c>
      <c r="C101" s="91">
        <v>0</v>
      </c>
      <c r="D101" s="91">
        <v>0</v>
      </c>
      <c r="E101" s="90">
        <v>0</v>
      </c>
      <c r="F101" s="91">
        <v>0</v>
      </c>
      <c r="G101" s="91">
        <v>0</v>
      </c>
      <c r="H101" s="91">
        <v>0</v>
      </c>
      <c r="I101" s="91">
        <v>0</v>
      </c>
      <c r="J101" s="91">
        <v>0</v>
      </c>
      <c r="K101" s="91">
        <v>0</v>
      </c>
      <c r="L101" s="91">
        <v>0</v>
      </c>
      <c r="M101" s="91">
        <v>0</v>
      </c>
      <c r="N101" s="91">
        <v>0</v>
      </c>
      <c r="O101" s="91">
        <v>0</v>
      </c>
      <c r="P101" s="91">
        <v>0</v>
      </c>
      <c r="Q101" s="91">
        <v>0</v>
      </c>
      <c r="R101" s="91">
        <v>0</v>
      </c>
      <c r="S101" s="91">
        <v>0</v>
      </c>
      <c r="T101" s="91">
        <v>0</v>
      </c>
      <c r="U101" s="91">
        <v>0</v>
      </c>
      <c r="V101" s="202">
        <v>0</v>
      </c>
      <c r="W101" s="91">
        <v>0</v>
      </c>
      <c r="X101" s="91">
        <v>0</v>
      </c>
      <c r="Y101" s="91">
        <v>0</v>
      </c>
      <c r="Z101" s="91">
        <v>0</v>
      </c>
      <c r="AA101" s="91">
        <v>0</v>
      </c>
      <c r="AB101" s="91">
        <v>0</v>
      </c>
      <c r="AC101" s="91">
        <v>0</v>
      </c>
      <c r="AD101" s="91">
        <v>0</v>
      </c>
      <c r="AE101" s="91">
        <v>0</v>
      </c>
      <c r="AF101" s="91">
        <v>0</v>
      </c>
      <c r="AG101" s="91">
        <v>0</v>
      </c>
      <c r="AH101" s="84">
        <v>1</v>
      </c>
      <c r="AI101" s="97">
        <f t="shared" si="1"/>
        <v>0</v>
      </c>
    </row>
    <row r="102" spans="1:35">
      <c r="A102" s="55" t="s">
        <v>267</v>
      </c>
      <c r="B102" s="91">
        <v>0</v>
      </c>
      <c r="C102" s="91">
        <v>0</v>
      </c>
      <c r="D102" s="91">
        <v>2</v>
      </c>
      <c r="E102" s="90">
        <v>2</v>
      </c>
      <c r="F102" s="91">
        <v>6765</v>
      </c>
      <c r="G102" s="91">
        <v>6407</v>
      </c>
      <c r="H102" s="91">
        <v>452</v>
      </c>
      <c r="I102" s="91">
        <v>106.30000000000001</v>
      </c>
      <c r="J102" s="91">
        <v>-94</v>
      </c>
      <c r="K102" s="91">
        <v>6946</v>
      </c>
      <c r="L102" s="91">
        <v>6565</v>
      </c>
      <c r="M102" s="91">
        <v>6414</v>
      </c>
      <c r="N102" s="91">
        <v>7127</v>
      </c>
      <c r="O102" s="91">
        <v>279</v>
      </c>
      <c r="P102" s="91">
        <v>195</v>
      </c>
      <c r="Q102" s="91">
        <v>0</v>
      </c>
      <c r="R102" s="91">
        <v>0</v>
      </c>
      <c r="S102" s="91">
        <v>-116</v>
      </c>
      <c r="T102" s="91">
        <v>0</v>
      </c>
      <c r="U102" s="91">
        <v>0</v>
      </c>
      <c r="V102" s="202">
        <v>0</v>
      </c>
      <c r="W102" s="91">
        <v>-22</v>
      </c>
      <c r="X102" s="91">
        <v>0</v>
      </c>
      <c r="Y102" s="91">
        <v>94</v>
      </c>
      <c r="Z102" s="91">
        <v>0</v>
      </c>
      <c r="AA102" s="91">
        <v>0</v>
      </c>
      <c r="AB102" s="91">
        <v>-22</v>
      </c>
      <c r="AC102" s="91">
        <v>-22</v>
      </c>
      <c r="AD102" s="91">
        <v>-22</v>
      </c>
      <c r="AE102" s="91">
        <v>-22</v>
      </c>
      <c r="AF102" s="91">
        <v>-6</v>
      </c>
      <c r="AG102" s="91">
        <v>0</v>
      </c>
      <c r="AH102" s="84">
        <v>5.2</v>
      </c>
      <c r="AI102" s="97">
        <f t="shared" si="1"/>
        <v>358</v>
      </c>
    </row>
    <row r="103" spans="1:35">
      <c r="A103" s="55" t="s">
        <v>268</v>
      </c>
      <c r="B103" s="91">
        <v>0</v>
      </c>
      <c r="C103" s="91">
        <v>0</v>
      </c>
      <c r="D103" s="91">
        <v>0</v>
      </c>
      <c r="E103" s="90">
        <v>0</v>
      </c>
      <c r="F103" s="91">
        <v>0</v>
      </c>
      <c r="G103" s="91">
        <v>0</v>
      </c>
      <c r="H103" s="91">
        <v>0</v>
      </c>
      <c r="I103" s="91">
        <v>0</v>
      </c>
      <c r="J103" s="91">
        <v>0</v>
      </c>
      <c r="K103" s="91">
        <v>0</v>
      </c>
      <c r="L103" s="91">
        <v>0</v>
      </c>
      <c r="M103" s="91">
        <v>0</v>
      </c>
      <c r="N103" s="91">
        <v>0</v>
      </c>
      <c r="O103" s="91">
        <v>0</v>
      </c>
      <c r="P103" s="91">
        <v>0</v>
      </c>
      <c r="Q103" s="91">
        <v>0</v>
      </c>
      <c r="R103" s="91">
        <v>0</v>
      </c>
      <c r="S103" s="91">
        <v>0</v>
      </c>
      <c r="T103" s="91">
        <v>0</v>
      </c>
      <c r="U103" s="91">
        <v>0</v>
      </c>
      <c r="V103" s="202">
        <v>0</v>
      </c>
      <c r="W103" s="91">
        <v>0</v>
      </c>
      <c r="X103" s="91">
        <v>0</v>
      </c>
      <c r="Y103" s="91">
        <v>0</v>
      </c>
      <c r="Z103" s="91">
        <v>0</v>
      </c>
      <c r="AA103" s="91">
        <v>0</v>
      </c>
      <c r="AB103" s="91">
        <v>0</v>
      </c>
      <c r="AC103" s="91">
        <v>0</v>
      </c>
      <c r="AD103" s="91">
        <v>0</v>
      </c>
      <c r="AE103" s="91">
        <v>0</v>
      </c>
      <c r="AF103" s="91">
        <v>0</v>
      </c>
      <c r="AG103" s="91">
        <v>0</v>
      </c>
      <c r="AH103" s="84">
        <v>1</v>
      </c>
      <c r="AI103" s="97">
        <f t="shared" si="1"/>
        <v>0</v>
      </c>
    </row>
    <row r="104" spans="1:35">
      <c r="A104" s="55" t="s">
        <v>269</v>
      </c>
      <c r="B104" s="91">
        <v>0</v>
      </c>
      <c r="C104" s="91">
        <v>0</v>
      </c>
      <c r="D104" s="91">
        <v>0</v>
      </c>
      <c r="E104" s="90">
        <v>0</v>
      </c>
      <c r="F104" s="91">
        <v>0</v>
      </c>
      <c r="G104" s="91">
        <v>0</v>
      </c>
      <c r="H104" s="91">
        <v>0</v>
      </c>
      <c r="I104" s="91">
        <v>0</v>
      </c>
      <c r="J104" s="91">
        <v>0</v>
      </c>
      <c r="K104" s="91">
        <v>0</v>
      </c>
      <c r="L104" s="91">
        <v>0</v>
      </c>
      <c r="M104" s="91">
        <v>0</v>
      </c>
      <c r="N104" s="91">
        <v>0</v>
      </c>
      <c r="O104" s="91">
        <v>0</v>
      </c>
      <c r="P104" s="91">
        <v>0</v>
      </c>
      <c r="Q104" s="91">
        <v>0</v>
      </c>
      <c r="R104" s="91">
        <v>0</v>
      </c>
      <c r="S104" s="91">
        <v>0</v>
      </c>
      <c r="T104" s="91">
        <v>0</v>
      </c>
      <c r="U104" s="91">
        <v>0</v>
      </c>
      <c r="V104" s="202">
        <v>0</v>
      </c>
      <c r="W104" s="91">
        <v>0</v>
      </c>
      <c r="X104" s="91">
        <v>0</v>
      </c>
      <c r="Y104" s="91">
        <v>0</v>
      </c>
      <c r="Z104" s="91">
        <v>0</v>
      </c>
      <c r="AA104" s="91">
        <v>0</v>
      </c>
      <c r="AB104" s="91">
        <v>0</v>
      </c>
      <c r="AC104" s="91">
        <v>0</v>
      </c>
      <c r="AD104" s="91">
        <v>0</v>
      </c>
      <c r="AE104" s="91">
        <v>0</v>
      </c>
      <c r="AF104" s="91">
        <v>0</v>
      </c>
      <c r="AG104" s="91">
        <v>0</v>
      </c>
      <c r="AH104" s="84">
        <v>1</v>
      </c>
      <c r="AI104" s="97">
        <f t="shared" si="1"/>
        <v>0</v>
      </c>
    </row>
    <row r="105" spans="1:35">
      <c r="A105" s="55" t="s">
        <v>270</v>
      </c>
      <c r="B105" s="91">
        <v>0</v>
      </c>
      <c r="C105" s="91">
        <v>0</v>
      </c>
      <c r="D105" s="91">
        <v>0</v>
      </c>
      <c r="E105" s="90">
        <v>0</v>
      </c>
      <c r="F105" s="91">
        <v>0</v>
      </c>
      <c r="G105" s="91">
        <v>0</v>
      </c>
      <c r="H105" s="91">
        <v>0</v>
      </c>
      <c r="I105" s="91">
        <v>0</v>
      </c>
      <c r="J105" s="91">
        <v>0</v>
      </c>
      <c r="K105" s="91">
        <v>0</v>
      </c>
      <c r="L105" s="91">
        <v>0</v>
      </c>
      <c r="M105" s="91">
        <v>0</v>
      </c>
      <c r="N105" s="91">
        <v>0</v>
      </c>
      <c r="O105" s="91">
        <v>0</v>
      </c>
      <c r="P105" s="91">
        <v>0</v>
      </c>
      <c r="Q105" s="91">
        <v>0</v>
      </c>
      <c r="R105" s="91">
        <v>0</v>
      </c>
      <c r="S105" s="91">
        <v>0</v>
      </c>
      <c r="T105" s="91">
        <v>0</v>
      </c>
      <c r="U105" s="91">
        <v>0</v>
      </c>
      <c r="V105" s="202">
        <v>0</v>
      </c>
      <c r="W105" s="91">
        <v>0</v>
      </c>
      <c r="X105" s="91">
        <v>0</v>
      </c>
      <c r="Y105" s="91">
        <v>0</v>
      </c>
      <c r="Z105" s="91">
        <v>0</v>
      </c>
      <c r="AA105" s="91">
        <v>0</v>
      </c>
      <c r="AB105" s="91">
        <v>0</v>
      </c>
      <c r="AC105" s="91">
        <v>0</v>
      </c>
      <c r="AD105" s="91">
        <v>0</v>
      </c>
      <c r="AE105" s="91">
        <v>0</v>
      </c>
      <c r="AF105" s="91">
        <v>0</v>
      </c>
      <c r="AG105" s="91">
        <v>0</v>
      </c>
      <c r="AH105" s="84">
        <v>1</v>
      </c>
      <c r="AI105" s="97">
        <f t="shared" si="1"/>
        <v>0</v>
      </c>
    </row>
    <row r="106" spans="1:35">
      <c r="A106" s="55" t="s">
        <v>271</v>
      </c>
      <c r="B106" s="91">
        <v>0</v>
      </c>
      <c r="C106" s="91">
        <v>0</v>
      </c>
      <c r="D106" s="91">
        <v>0</v>
      </c>
      <c r="E106" s="90">
        <v>0</v>
      </c>
      <c r="F106" s="91">
        <v>0</v>
      </c>
      <c r="G106" s="91">
        <v>0</v>
      </c>
      <c r="H106" s="91">
        <v>0</v>
      </c>
      <c r="I106" s="91">
        <v>0</v>
      </c>
      <c r="J106" s="91">
        <v>0</v>
      </c>
      <c r="K106" s="91">
        <v>0</v>
      </c>
      <c r="L106" s="91">
        <v>0</v>
      </c>
      <c r="M106" s="91">
        <v>0</v>
      </c>
      <c r="N106" s="91">
        <v>0</v>
      </c>
      <c r="O106" s="91">
        <v>0</v>
      </c>
      <c r="P106" s="91">
        <v>0</v>
      </c>
      <c r="Q106" s="91">
        <v>0</v>
      </c>
      <c r="R106" s="91">
        <v>0</v>
      </c>
      <c r="S106" s="91">
        <v>0</v>
      </c>
      <c r="T106" s="91">
        <v>0</v>
      </c>
      <c r="U106" s="91">
        <v>0</v>
      </c>
      <c r="V106" s="202">
        <v>0</v>
      </c>
      <c r="W106" s="91">
        <v>0</v>
      </c>
      <c r="X106" s="91">
        <v>0</v>
      </c>
      <c r="Y106" s="91">
        <v>0</v>
      </c>
      <c r="Z106" s="91">
        <v>0</v>
      </c>
      <c r="AA106" s="91">
        <v>0</v>
      </c>
      <c r="AB106" s="91">
        <v>0</v>
      </c>
      <c r="AC106" s="91">
        <v>0</v>
      </c>
      <c r="AD106" s="91">
        <v>0</v>
      </c>
      <c r="AE106" s="91">
        <v>0</v>
      </c>
      <c r="AF106" s="91">
        <v>0</v>
      </c>
      <c r="AG106" s="91">
        <v>0</v>
      </c>
      <c r="AH106" s="84">
        <v>1</v>
      </c>
      <c r="AI106" s="97">
        <f t="shared" si="1"/>
        <v>0</v>
      </c>
    </row>
    <row r="107" spans="1:35">
      <c r="A107" s="55" t="s">
        <v>272</v>
      </c>
      <c r="B107" s="91">
        <v>0</v>
      </c>
      <c r="C107" s="91">
        <v>0</v>
      </c>
      <c r="D107" s="91">
        <v>12</v>
      </c>
      <c r="E107" s="90">
        <v>12</v>
      </c>
      <c r="F107" s="91">
        <v>45528</v>
      </c>
      <c r="G107" s="91">
        <v>43557</v>
      </c>
      <c r="H107" s="91">
        <v>4195</v>
      </c>
      <c r="I107" s="91">
        <v>319.40000000000009</v>
      </c>
      <c r="J107" s="91">
        <v>-2224</v>
      </c>
      <c r="K107" s="91">
        <v>49412</v>
      </c>
      <c r="L107" s="91">
        <v>41901</v>
      </c>
      <c r="M107" s="91">
        <v>39786</v>
      </c>
      <c r="N107" s="91">
        <v>52463</v>
      </c>
      <c r="O107" s="91">
        <v>3080</v>
      </c>
      <c r="P107" s="91">
        <v>1362</v>
      </c>
      <c r="Q107" s="91">
        <v>0</v>
      </c>
      <c r="R107" s="91">
        <v>0</v>
      </c>
      <c r="S107" s="91">
        <v>-2471</v>
      </c>
      <c r="T107" s="91">
        <v>0</v>
      </c>
      <c r="U107" s="91">
        <v>0</v>
      </c>
      <c r="V107" s="202">
        <v>0</v>
      </c>
      <c r="W107" s="91">
        <v>-247</v>
      </c>
      <c r="X107" s="91">
        <v>0</v>
      </c>
      <c r="Y107" s="91">
        <v>2224</v>
      </c>
      <c r="Z107" s="91">
        <v>0</v>
      </c>
      <c r="AA107" s="91">
        <v>0</v>
      </c>
      <c r="AB107" s="91">
        <v>-247</v>
      </c>
      <c r="AC107" s="91">
        <v>-247</v>
      </c>
      <c r="AD107" s="91">
        <v>-247</v>
      </c>
      <c r="AE107" s="91">
        <v>-247</v>
      </c>
      <c r="AF107" s="91">
        <v>-247</v>
      </c>
      <c r="AG107" s="91">
        <v>-989</v>
      </c>
      <c r="AH107" s="84">
        <v>10</v>
      </c>
      <c r="AI107" s="97">
        <f t="shared" si="1"/>
        <v>1971</v>
      </c>
    </row>
    <row r="108" spans="1:35">
      <c r="A108" s="55" t="s">
        <v>273</v>
      </c>
      <c r="B108" s="91">
        <v>0</v>
      </c>
      <c r="C108" s="91">
        <v>0</v>
      </c>
      <c r="D108" s="91">
        <v>0</v>
      </c>
      <c r="E108" s="90">
        <v>0</v>
      </c>
      <c r="F108" s="91">
        <v>0</v>
      </c>
      <c r="G108" s="91">
        <v>0</v>
      </c>
      <c r="H108" s="91">
        <v>0</v>
      </c>
      <c r="I108" s="91">
        <v>0</v>
      </c>
      <c r="J108" s="91">
        <v>0</v>
      </c>
      <c r="K108" s="91">
        <v>0</v>
      </c>
      <c r="L108" s="91">
        <v>0</v>
      </c>
      <c r="M108" s="91">
        <v>0</v>
      </c>
      <c r="N108" s="91">
        <v>0</v>
      </c>
      <c r="O108" s="91">
        <v>0</v>
      </c>
      <c r="P108" s="91">
        <v>0</v>
      </c>
      <c r="Q108" s="91">
        <v>0</v>
      </c>
      <c r="R108" s="91">
        <v>0</v>
      </c>
      <c r="S108" s="91">
        <v>0</v>
      </c>
      <c r="T108" s="91">
        <v>0</v>
      </c>
      <c r="U108" s="91">
        <v>0</v>
      </c>
      <c r="V108" s="202">
        <v>0</v>
      </c>
      <c r="W108" s="91">
        <v>0</v>
      </c>
      <c r="X108" s="91">
        <v>0</v>
      </c>
      <c r="Y108" s="91">
        <v>0</v>
      </c>
      <c r="Z108" s="91">
        <v>0</v>
      </c>
      <c r="AA108" s="91">
        <v>0</v>
      </c>
      <c r="AB108" s="91">
        <v>0</v>
      </c>
      <c r="AC108" s="91">
        <v>0</v>
      </c>
      <c r="AD108" s="91">
        <v>0</v>
      </c>
      <c r="AE108" s="91">
        <v>0</v>
      </c>
      <c r="AF108" s="91">
        <v>0</v>
      </c>
      <c r="AG108" s="91">
        <v>0</v>
      </c>
      <c r="AH108" s="84">
        <v>1</v>
      </c>
      <c r="AI108" s="97">
        <f t="shared" si="1"/>
        <v>0</v>
      </c>
    </row>
    <row r="109" spans="1:35">
      <c r="A109" s="55" t="s">
        <v>274</v>
      </c>
      <c r="B109" s="91">
        <v>0</v>
      </c>
      <c r="C109" s="91">
        <v>0</v>
      </c>
      <c r="D109" s="91">
        <v>119</v>
      </c>
      <c r="E109" s="90">
        <v>127</v>
      </c>
      <c r="F109" s="91">
        <v>214402</v>
      </c>
      <c r="G109" s="91">
        <v>185567</v>
      </c>
      <c r="H109" s="91">
        <v>41180</v>
      </c>
      <c r="I109" s="91">
        <v>486.31000000000017</v>
      </c>
      <c r="J109" s="91">
        <v>-12345</v>
      </c>
      <c r="K109" s="91">
        <v>236126</v>
      </c>
      <c r="L109" s="91">
        <v>194283</v>
      </c>
      <c r="M109" s="91">
        <v>182128</v>
      </c>
      <c r="N109" s="91">
        <v>253543</v>
      </c>
      <c r="O109" s="91">
        <v>35984</v>
      </c>
      <c r="P109" s="91">
        <v>6469</v>
      </c>
      <c r="Q109" s="91">
        <v>0</v>
      </c>
      <c r="R109" s="91">
        <v>0</v>
      </c>
      <c r="S109" s="91">
        <v>-13618</v>
      </c>
      <c r="T109" s="91">
        <v>0</v>
      </c>
      <c r="U109" s="91">
        <v>0</v>
      </c>
      <c r="V109" s="202">
        <v>0</v>
      </c>
      <c r="W109" s="91">
        <v>-1273</v>
      </c>
      <c r="X109" s="91">
        <v>0</v>
      </c>
      <c r="Y109" s="91">
        <v>12345</v>
      </c>
      <c r="Z109" s="91">
        <v>0</v>
      </c>
      <c r="AA109" s="91">
        <v>0</v>
      </c>
      <c r="AB109" s="91">
        <v>-1273</v>
      </c>
      <c r="AC109" s="91">
        <v>-1273</v>
      </c>
      <c r="AD109" s="91">
        <v>-1273</v>
      </c>
      <c r="AE109" s="91">
        <v>-1273</v>
      </c>
      <c r="AF109" s="91">
        <v>-1273</v>
      </c>
      <c r="AG109" s="91">
        <v>-5980</v>
      </c>
      <c r="AH109" s="84">
        <v>10.7</v>
      </c>
      <c r="AI109" s="97">
        <f t="shared" si="1"/>
        <v>28835</v>
      </c>
    </row>
    <row r="110" spans="1:35">
      <c r="A110" s="55" t="s">
        <v>275</v>
      </c>
      <c r="B110" s="91">
        <v>0</v>
      </c>
      <c r="C110" s="91">
        <v>0</v>
      </c>
      <c r="D110" s="91">
        <v>1</v>
      </c>
      <c r="E110" s="90">
        <v>1</v>
      </c>
      <c r="F110" s="91">
        <v>821</v>
      </c>
      <c r="G110" s="91">
        <v>649</v>
      </c>
      <c r="H110" s="91">
        <v>189</v>
      </c>
      <c r="I110" s="91">
        <v>3.0700000000000003</v>
      </c>
      <c r="J110" s="91">
        <v>-17</v>
      </c>
      <c r="K110" s="91">
        <v>853</v>
      </c>
      <c r="L110" s="91">
        <v>801</v>
      </c>
      <c r="M110" s="91">
        <v>770</v>
      </c>
      <c r="N110" s="91">
        <v>881</v>
      </c>
      <c r="O110" s="91">
        <v>168</v>
      </c>
      <c r="P110" s="91">
        <v>24</v>
      </c>
      <c r="Q110" s="91">
        <v>0</v>
      </c>
      <c r="R110" s="91">
        <v>0</v>
      </c>
      <c r="S110" s="91">
        <v>-20</v>
      </c>
      <c r="T110" s="91">
        <v>0</v>
      </c>
      <c r="U110" s="91">
        <v>0</v>
      </c>
      <c r="V110" s="202">
        <v>0</v>
      </c>
      <c r="W110" s="91">
        <v>-3</v>
      </c>
      <c r="X110" s="91">
        <v>0</v>
      </c>
      <c r="Y110" s="91">
        <v>17</v>
      </c>
      <c r="Z110" s="91">
        <v>0</v>
      </c>
      <c r="AA110" s="91">
        <v>0</v>
      </c>
      <c r="AB110" s="91">
        <v>-3</v>
      </c>
      <c r="AC110" s="91">
        <v>-3</v>
      </c>
      <c r="AD110" s="91">
        <v>-3</v>
      </c>
      <c r="AE110" s="91">
        <v>-3</v>
      </c>
      <c r="AF110" s="91">
        <v>-3</v>
      </c>
      <c r="AG110" s="91">
        <v>-2</v>
      </c>
      <c r="AH110" s="84">
        <v>6.1</v>
      </c>
      <c r="AI110" s="97">
        <f t="shared" si="1"/>
        <v>172</v>
      </c>
    </row>
    <row r="111" spans="1:35">
      <c r="A111" s="55" t="s">
        <v>276</v>
      </c>
      <c r="B111" s="91">
        <v>0</v>
      </c>
      <c r="C111" s="91">
        <v>0</v>
      </c>
      <c r="D111" s="91">
        <v>3</v>
      </c>
      <c r="E111" s="90">
        <v>3</v>
      </c>
      <c r="F111" s="91">
        <v>4148</v>
      </c>
      <c r="G111" s="91">
        <v>3476</v>
      </c>
      <c r="H111" s="91">
        <v>953</v>
      </c>
      <c r="I111" s="91">
        <v>0.17000000000000171</v>
      </c>
      <c r="J111" s="91">
        <v>-281</v>
      </c>
      <c r="K111" s="91">
        <v>4626</v>
      </c>
      <c r="L111" s="91">
        <v>3747</v>
      </c>
      <c r="M111" s="91">
        <v>3507</v>
      </c>
      <c r="N111" s="91">
        <v>5010</v>
      </c>
      <c r="O111" s="91">
        <v>853</v>
      </c>
      <c r="P111" s="91">
        <v>126</v>
      </c>
      <c r="Q111" s="91">
        <v>0</v>
      </c>
      <c r="R111" s="91">
        <v>0</v>
      </c>
      <c r="S111" s="91">
        <v>-307</v>
      </c>
      <c r="T111" s="91">
        <v>0</v>
      </c>
      <c r="U111" s="91">
        <v>0</v>
      </c>
      <c r="V111" s="202">
        <v>0</v>
      </c>
      <c r="W111" s="91">
        <v>-26</v>
      </c>
      <c r="X111" s="91">
        <v>0</v>
      </c>
      <c r="Y111" s="91">
        <v>281</v>
      </c>
      <c r="Z111" s="91">
        <v>0</v>
      </c>
      <c r="AA111" s="91">
        <v>0</v>
      </c>
      <c r="AB111" s="91">
        <v>-26</v>
      </c>
      <c r="AC111" s="91">
        <v>-26</v>
      </c>
      <c r="AD111" s="91">
        <v>-26</v>
      </c>
      <c r="AE111" s="91">
        <v>-26</v>
      </c>
      <c r="AF111" s="91">
        <v>-26</v>
      </c>
      <c r="AG111" s="91">
        <v>-151</v>
      </c>
      <c r="AH111" s="84">
        <v>12</v>
      </c>
      <c r="AI111" s="97">
        <f t="shared" si="1"/>
        <v>672</v>
      </c>
    </row>
    <row r="112" spans="1:35">
      <c r="A112" s="55" t="s">
        <v>277</v>
      </c>
      <c r="B112" s="91">
        <v>0</v>
      </c>
      <c r="C112" s="91">
        <v>0</v>
      </c>
      <c r="D112" s="91">
        <v>16</v>
      </c>
      <c r="E112" s="90">
        <v>17</v>
      </c>
      <c r="F112" s="91">
        <v>41385</v>
      </c>
      <c r="G112" s="91">
        <v>39302</v>
      </c>
      <c r="H112" s="91">
        <v>4571</v>
      </c>
      <c r="I112" s="91">
        <v>33.999999999999943</v>
      </c>
      <c r="J112" s="91">
        <v>-2488</v>
      </c>
      <c r="K112" s="91">
        <v>45824</v>
      </c>
      <c r="L112" s="91">
        <v>37309</v>
      </c>
      <c r="M112" s="91">
        <v>35327</v>
      </c>
      <c r="N112" s="91">
        <v>48904</v>
      </c>
      <c r="O112" s="91">
        <v>3607</v>
      </c>
      <c r="P112" s="91">
        <v>1253</v>
      </c>
      <c r="Q112" s="91">
        <v>0</v>
      </c>
      <c r="R112" s="91">
        <v>0</v>
      </c>
      <c r="S112" s="91">
        <v>-2777</v>
      </c>
      <c r="T112" s="91">
        <v>0</v>
      </c>
      <c r="U112" s="91">
        <v>0</v>
      </c>
      <c r="V112" s="202">
        <v>0</v>
      </c>
      <c r="W112" s="91">
        <v>-289</v>
      </c>
      <c r="X112" s="91">
        <v>0</v>
      </c>
      <c r="Y112" s="91">
        <v>2488</v>
      </c>
      <c r="Z112" s="91">
        <v>0</v>
      </c>
      <c r="AA112" s="91">
        <v>0</v>
      </c>
      <c r="AB112" s="91">
        <v>-289</v>
      </c>
      <c r="AC112" s="91">
        <v>-289</v>
      </c>
      <c r="AD112" s="91">
        <v>-289</v>
      </c>
      <c r="AE112" s="91">
        <v>-289</v>
      </c>
      <c r="AF112" s="91">
        <v>-289</v>
      </c>
      <c r="AG112" s="91">
        <v>-1043</v>
      </c>
      <c r="AH112" s="84">
        <v>9.6</v>
      </c>
      <c r="AI112" s="97">
        <f t="shared" si="1"/>
        <v>2083</v>
      </c>
    </row>
    <row r="113" spans="1:35">
      <c r="A113" s="55" t="s">
        <v>278</v>
      </c>
      <c r="B113" s="91">
        <v>0</v>
      </c>
      <c r="C113" s="91">
        <v>0</v>
      </c>
      <c r="D113" s="91">
        <v>47</v>
      </c>
      <c r="E113" s="90">
        <v>52</v>
      </c>
      <c r="F113" s="91">
        <v>130214</v>
      </c>
      <c r="G113" s="91">
        <v>122920</v>
      </c>
      <c r="H113" s="91">
        <v>12789</v>
      </c>
      <c r="I113" s="91">
        <v>1277.9300000000003</v>
      </c>
      <c r="J113" s="91">
        <v>-5495</v>
      </c>
      <c r="K113" s="91">
        <v>139996</v>
      </c>
      <c r="L113" s="91">
        <v>120799</v>
      </c>
      <c r="M113" s="91">
        <v>115267</v>
      </c>
      <c r="N113" s="91">
        <v>147870</v>
      </c>
      <c r="O113" s="91">
        <v>9632</v>
      </c>
      <c r="P113" s="91">
        <v>3871</v>
      </c>
      <c r="Q113" s="91">
        <v>0</v>
      </c>
      <c r="R113" s="91">
        <v>0</v>
      </c>
      <c r="S113" s="91">
        <v>-6209</v>
      </c>
      <c r="T113" s="91">
        <v>0</v>
      </c>
      <c r="U113" s="91">
        <v>0</v>
      </c>
      <c r="V113" s="202">
        <v>0</v>
      </c>
      <c r="W113" s="91">
        <v>-714</v>
      </c>
      <c r="X113" s="91">
        <v>0</v>
      </c>
      <c r="Y113" s="91">
        <v>5495</v>
      </c>
      <c r="Z113" s="91">
        <v>0</v>
      </c>
      <c r="AA113" s="91">
        <v>0</v>
      </c>
      <c r="AB113" s="91">
        <v>-714</v>
      </c>
      <c r="AC113" s="91">
        <v>-714</v>
      </c>
      <c r="AD113" s="91">
        <v>-714</v>
      </c>
      <c r="AE113" s="91">
        <v>-714</v>
      </c>
      <c r="AF113" s="91">
        <v>-714</v>
      </c>
      <c r="AG113" s="91">
        <v>-1925</v>
      </c>
      <c r="AH113" s="84">
        <v>8.6999999999999993</v>
      </c>
      <c r="AI113" s="97">
        <f t="shared" si="1"/>
        <v>7294</v>
      </c>
    </row>
    <row r="114" spans="1:35">
      <c r="A114" s="55" t="s">
        <v>279</v>
      </c>
      <c r="B114" s="91">
        <v>26</v>
      </c>
      <c r="C114" s="91">
        <v>0</v>
      </c>
      <c r="D114" s="91">
        <v>303</v>
      </c>
      <c r="E114" s="90">
        <v>312</v>
      </c>
      <c r="F114" s="91">
        <v>5193349</v>
      </c>
      <c r="G114" s="91">
        <v>5250426</v>
      </c>
      <c r="H114" s="91">
        <v>415915</v>
      </c>
      <c r="I114" s="91">
        <v>252292.25</v>
      </c>
      <c r="J114" s="91">
        <v>-237286</v>
      </c>
      <c r="K114" s="91">
        <v>5610155</v>
      </c>
      <c r="L114" s="91">
        <v>4807013</v>
      </c>
      <c r="M114" s="91">
        <v>4617100</v>
      </c>
      <c r="N114" s="91">
        <v>5878184</v>
      </c>
      <c r="O114" s="91">
        <v>283831</v>
      </c>
      <c r="P114" s="91">
        <v>158159</v>
      </c>
      <c r="Q114" s="91">
        <v>0</v>
      </c>
      <c r="R114" s="91">
        <v>0</v>
      </c>
      <c r="S114" s="91">
        <v>-263361</v>
      </c>
      <c r="T114" s="91">
        <v>235706</v>
      </c>
      <c r="U114" s="91">
        <v>0</v>
      </c>
      <c r="V114" s="202">
        <v>0</v>
      </c>
      <c r="W114" s="91">
        <v>-26075</v>
      </c>
      <c r="X114" s="91">
        <v>0</v>
      </c>
      <c r="Y114" s="91">
        <v>237286</v>
      </c>
      <c r="Z114" s="91">
        <v>0</v>
      </c>
      <c r="AA114" s="91">
        <v>0</v>
      </c>
      <c r="AB114" s="91">
        <v>-26075</v>
      </c>
      <c r="AC114" s="91">
        <v>-26075</v>
      </c>
      <c r="AD114" s="91">
        <v>-26075</v>
      </c>
      <c r="AE114" s="91">
        <v>-26075</v>
      </c>
      <c r="AF114" s="91">
        <v>-26075</v>
      </c>
      <c r="AG114" s="91">
        <v>-106911</v>
      </c>
      <c r="AH114" s="84">
        <v>10.1</v>
      </c>
      <c r="AI114" s="97">
        <f t="shared" si="1"/>
        <v>-57077</v>
      </c>
    </row>
    <row r="115" spans="1:35">
      <c r="A115" s="55" t="s">
        <v>280</v>
      </c>
      <c r="B115" s="91">
        <v>0</v>
      </c>
      <c r="C115" s="91">
        <v>0</v>
      </c>
      <c r="D115" s="91">
        <v>0</v>
      </c>
      <c r="E115" s="90">
        <v>0</v>
      </c>
      <c r="F115" s="91">
        <v>0</v>
      </c>
      <c r="G115" s="91">
        <v>0</v>
      </c>
      <c r="H115" s="91">
        <v>0</v>
      </c>
      <c r="I115" s="91">
        <v>0</v>
      </c>
      <c r="J115" s="91">
        <v>0</v>
      </c>
      <c r="K115" s="91">
        <v>0</v>
      </c>
      <c r="L115" s="91">
        <v>0</v>
      </c>
      <c r="M115" s="91">
        <v>0</v>
      </c>
      <c r="N115" s="91">
        <v>0</v>
      </c>
      <c r="O115" s="91">
        <v>0</v>
      </c>
      <c r="P115" s="91">
        <v>0</v>
      </c>
      <c r="Q115" s="91">
        <v>0</v>
      </c>
      <c r="R115" s="91">
        <v>0</v>
      </c>
      <c r="S115" s="91">
        <v>0</v>
      </c>
      <c r="T115" s="91">
        <v>0</v>
      </c>
      <c r="U115" s="91">
        <v>0</v>
      </c>
      <c r="V115" s="202">
        <v>0</v>
      </c>
      <c r="W115" s="91">
        <v>0</v>
      </c>
      <c r="X115" s="91">
        <v>0</v>
      </c>
      <c r="Y115" s="91">
        <v>0</v>
      </c>
      <c r="Z115" s="91">
        <v>0</v>
      </c>
      <c r="AA115" s="91">
        <v>0</v>
      </c>
      <c r="AB115" s="91">
        <v>0</v>
      </c>
      <c r="AC115" s="91">
        <v>0</v>
      </c>
      <c r="AD115" s="91">
        <v>0</v>
      </c>
      <c r="AE115" s="91">
        <v>0</v>
      </c>
      <c r="AF115" s="91">
        <v>0</v>
      </c>
      <c r="AG115" s="91">
        <v>0</v>
      </c>
      <c r="AH115" s="84">
        <v>1</v>
      </c>
      <c r="AI115" s="97">
        <f t="shared" si="1"/>
        <v>0</v>
      </c>
    </row>
    <row r="116" spans="1:35">
      <c r="A116" s="55" t="s">
        <v>281</v>
      </c>
      <c r="B116" s="91">
        <v>11</v>
      </c>
      <c r="C116" s="91">
        <v>0</v>
      </c>
      <c r="D116" s="91">
        <v>107</v>
      </c>
      <c r="E116" s="90">
        <v>113</v>
      </c>
      <c r="F116" s="91">
        <v>2332166</v>
      </c>
      <c r="G116" s="91">
        <v>2336088</v>
      </c>
      <c r="H116" s="91">
        <v>208683</v>
      </c>
      <c r="I116" s="91">
        <v>130554.35000000002</v>
      </c>
      <c r="J116" s="91">
        <v>-95462</v>
      </c>
      <c r="K116" s="91">
        <v>2500859</v>
      </c>
      <c r="L116" s="91">
        <v>2173996</v>
      </c>
      <c r="M116" s="91">
        <v>2083847</v>
      </c>
      <c r="N116" s="91">
        <v>2628208</v>
      </c>
      <c r="O116" s="91">
        <v>149187</v>
      </c>
      <c r="P116" s="91">
        <v>70860</v>
      </c>
      <c r="Q116" s="91">
        <v>0</v>
      </c>
      <c r="R116" s="91">
        <v>0</v>
      </c>
      <c r="S116" s="91">
        <v>-106826</v>
      </c>
      <c r="T116" s="91">
        <v>117143</v>
      </c>
      <c r="U116" s="91">
        <v>0</v>
      </c>
      <c r="V116" s="202">
        <v>0</v>
      </c>
      <c r="W116" s="91">
        <v>-11364</v>
      </c>
      <c r="X116" s="91">
        <v>0</v>
      </c>
      <c r="Y116" s="91">
        <v>95462</v>
      </c>
      <c r="Z116" s="91">
        <v>0</v>
      </c>
      <c r="AA116" s="91">
        <v>0</v>
      </c>
      <c r="AB116" s="91">
        <v>-11364</v>
      </c>
      <c r="AC116" s="91">
        <v>-11364</v>
      </c>
      <c r="AD116" s="91">
        <v>-11364</v>
      </c>
      <c r="AE116" s="91">
        <v>-11364</v>
      </c>
      <c r="AF116" s="91">
        <v>-11364</v>
      </c>
      <c r="AG116" s="91">
        <v>-38642</v>
      </c>
      <c r="AH116" s="84">
        <v>9.4</v>
      </c>
      <c r="AI116" s="97">
        <f t="shared" si="1"/>
        <v>-3922</v>
      </c>
    </row>
    <row r="117" spans="1:35">
      <c r="A117" s="55" t="s">
        <v>282</v>
      </c>
      <c r="B117" s="91">
        <v>0</v>
      </c>
      <c r="C117" s="91">
        <v>0</v>
      </c>
      <c r="D117" s="91">
        <v>4</v>
      </c>
      <c r="E117" s="90">
        <v>4</v>
      </c>
      <c r="F117" s="91">
        <v>7878</v>
      </c>
      <c r="G117" s="91">
        <v>7740</v>
      </c>
      <c r="H117" s="91">
        <v>461</v>
      </c>
      <c r="I117" s="91">
        <v>0</v>
      </c>
      <c r="J117" s="91">
        <v>-323</v>
      </c>
      <c r="K117" s="91">
        <v>8598</v>
      </c>
      <c r="L117" s="91">
        <v>7173</v>
      </c>
      <c r="M117" s="91">
        <v>6806</v>
      </c>
      <c r="N117" s="91">
        <v>9108</v>
      </c>
      <c r="O117" s="91">
        <v>345</v>
      </c>
      <c r="P117" s="91">
        <v>236</v>
      </c>
      <c r="Q117" s="91">
        <v>0</v>
      </c>
      <c r="R117" s="91">
        <v>0</v>
      </c>
      <c r="S117" s="91">
        <v>-443</v>
      </c>
      <c r="T117" s="91">
        <v>0</v>
      </c>
      <c r="U117" s="91">
        <v>0</v>
      </c>
      <c r="V117" s="202">
        <v>0</v>
      </c>
      <c r="W117" s="91">
        <v>-120</v>
      </c>
      <c r="X117" s="91">
        <v>0</v>
      </c>
      <c r="Y117" s="91">
        <v>323</v>
      </c>
      <c r="Z117" s="91">
        <v>0</v>
      </c>
      <c r="AA117" s="91">
        <v>0</v>
      </c>
      <c r="AB117" s="91">
        <v>-120</v>
      </c>
      <c r="AC117" s="91">
        <v>-120</v>
      </c>
      <c r="AD117" s="91">
        <v>-83</v>
      </c>
      <c r="AE117" s="91">
        <v>0</v>
      </c>
      <c r="AF117" s="91">
        <v>0</v>
      </c>
      <c r="AG117" s="91">
        <v>0</v>
      </c>
      <c r="AH117" s="84">
        <v>3.7</v>
      </c>
      <c r="AI117" s="97">
        <f t="shared" si="1"/>
        <v>138</v>
      </c>
    </row>
    <row r="118" spans="1:35">
      <c r="A118" s="55" t="s">
        <v>283</v>
      </c>
      <c r="B118" s="91">
        <v>0</v>
      </c>
      <c r="C118" s="91">
        <v>0</v>
      </c>
      <c r="D118" s="91">
        <v>0</v>
      </c>
      <c r="E118" s="90">
        <v>0</v>
      </c>
      <c r="F118" s="91">
        <v>0</v>
      </c>
      <c r="G118" s="91">
        <v>0</v>
      </c>
      <c r="H118" s="91">
        <v>0</v>
      </c>
      <c r="I118" s="91">
        <v>0</v>
      </c>
      <c r="J118" s="91">
        <v>0</v>
      </c>
      <c r="K118" s="91">
        <v>0</v>
      </c>
      <c r="L118" s="91">
        <v>0</v>
      </c>
      <c r="M118" s="91">
        <v>0</v>
      </c>
      <c r="N118" s="91">
        <v>0</v>
      </c>
      <c r="O118" s="91">
        <v>0</v>
      </c>
      <c r="P118" s="91">
        <v>0</v>
      </c>
      <c r="Q118" s="91">
        <v>0</v>
      </c>
      <c r="R118" s="91">
        <v>0</v>
      </c>
      <c r="S118" s="91">
        <v>0</v>
      </c>
      <c r="T118" s="91">
        <v>0</v>
      </c>
      <c r="U118" s="91">
        <v>0</v>
      </c>
      <c r="V118" s="202">
        <v>0</v>
      </c>
      <c r="W118" s="91">
        <v>0</v>
      </c>
      <c r="X118" s="91">
        <v>0</v>
      </c>
      <c r="Y118" s="91">
        <v>0</v>
      </c>
      <c r="Z118" s="91">
        <v>0</v>
      </c>
      <c r="AA118" s="91">
        <v>0</v>
      </c>
      <c r="AB118" s="91">
        <v>0</v>
      </c>
      <c r="AC118" s="91">
        <v>0</v>
      </c>
      <c r="AD118" s="91">
        <v>0</v>
      </c>
      <c r="AE118" s="91">
        <v>0</v>
      </c>
      <c r="AF118" s="91">
        <v>0</v>
      </c>
      <c r="AG118" s="91">
        <v>0</v>
      </c>
      <c r="AH118" s="84">
        <v>1</v>
      </c>
      <c r="AI118" s="97">
        <f t="shared" si="1"/>
        <v>0</v>
      </c>
    </row>
    <row r="119" spans="1:35">
      <c r="A119" s="55" t="s">
        <v>284</v>
      </c>
      <c r="B119" s="91">
        <v>0</v>
      </c>
      <c r="C119" s="91">
        <v>0</v>
      </c>
      <c r="D119" s="91">
        <v>6</v>
      </c>
      <c r="E119" s="90">
        <v>6</v>
      </c>
      <c r="F119" s="91">
        <v>13142</v>
      </c>
      <c r="G119" s="91">
        <v>12348</v>
      </c>
      <c r="H119" s="91">
        <v>1277</v>
      </c>
      <c r="I119" s="91">
        <v>0</v>
      </c>
      <c r="J119" s="91">
        <v>-483</v>
      </c>
      <c r="K119" s="91">
        <v>14007</v>
      </c>
      <c r="L119" s="91">
        <v>12294</v>
      </c>
      <c r="M119" s="91">
        <v>11720</v>
      </c>
      <c r="N119" s="91">
        <v>14737</v>
      </c>
      <c r="O119" s="91">
        <v>953</v>
      </c>
      <c r="P119" s="91">
        <v>388</v>
      </c>
      <c r="Q119" s="91">
        <v>0</v>
      </c>
      <c r="R119" s="91">
        <v>0</v>
      </c>
      <c r="S119" s="91">
        <v>-547</v>
      </c>
      <c r="T119" s="91">
        <v>0</v>
      </c>
      <c r="U119" s="91">
        <v>0</v>
      </c>
      <c r="V119" s="202">
        <v>0</v>
      </c>
      <c r="W119" s="91">
        <v>-64</v>
      </c>
      <c r="X119" s="91">
        <v>0</v>
      </c>
      <c r="Y119" s="91">
        <v>483</v>
      </c>
      <c r="Z119" s="91">
        <v>0</v>
      </c>
      <c r="AA119" s="91">
        <v>0</v>
      </c>
      <c r="AB119" s="91">
        <v>-64</v>
      </c>
      <c r="AC119" s="91">
        <v>-64</v>
      </c>
      <c r="AD119" s="91">
        <v>-64</v>
      </c>
      <c r="AE119" s="91">
        <v>-64</v>
      </c>
      <c r="AF119" s="91">
        <v>-64</v>
      </c>
      <c r="AG119" s="91">
        <v>-163</v>
      </c>
      <c r="AH119" s="84">
        <v>8.5</v>
      </c>
      <c r="AI119" s="97">
        <f t="shared" si="1"/>
        <v>794</v>
      </c>
    </row>
    <row r="120" spans="1:35">
      <c r="A120" s="55" t="s">
        <v>285</v>
      </c>
      <c r="B120" s="91">
        <v>0</v>
      </c>
      <c r="C120" s="91">
        <v>0</v>
      </c>
      <c r="D120" s="91">
        <v>0</v>
      </c>
      <c r="E120" s="90">
        <v>0</v>
      </c>
      <c r="F120" s="91">
        <v>0</v>
      </c>
      <c r="G120" s="91">
        <v>0</v>
      </c>
      <c r="H120" s="91">
        <v>0</v>
      </c>
      <c r="I120" s="91">
        <v>0</v>
      </c>
      <c r="J120" s="91">
        <v>0</v>
      </c>
      <c r="K120" s="91">
        <v>0</v>
      </c>
      <c r="L120" s="91">
        <v>0</v>
      </c>
      <c r="M120" s="91">
        <v>0</v>
      </c>
      <c r="N120" s="91">
        <v>0</v>
      </c>
      <c r="O120" s="91">
        <v>0</v>
      </c>
      <c r="P120" s="91">
        <v>0</v>
      </c>
      <c r="Q120" s="91">
        <v>0</v>
      </c>
      <c r="R120" s="91">
        <v>0</v>
      </c>
      <c r="S120" s="91">
        <v>0</v>
      </c>
      <c r="T120" s="91">
        <v>0</v>
      </c>
      <c r="U120" s="91">
        <v>0</v>
      </c>
      <c r="V120" s="202">
        <v>0</v>
      </c>
      <c r="W120" s="91">
        <v>0</v>
      </c>
      <c r="X120" s="91">
        <v>0</v>
      </c>
      <c r="Y120" s="91">
        <v>0</v>
      </c>
      <c r="Z120" s="91">
        <v>0</v>
      </c>
      <c r="AA120" s="91">
        <v>0</v>
      </c>
      <c r="AB120" s="91">
        <v>0</v>
      </c>
      <c r="AC120" s="91">
        <v>0</v>
      </c>
      <c r="AD120" s="91">
        <v>0</v>
      </c>
      <c r="AE120" s="91">
        <v>0</v>
      </c>
      <c r="AF120" s="91">
        <v>0</v>
      </c>
      <c r="AG120" s="91">
        <v>0</v>
      </c>
      <c r="AH120" s="84">
        <v>1</v>
      </c>
      <c r="AI120" s="97">
        <f t="shared" si="1"/>
        <v>0</v>
      </c>
    </row>
    <row r="121" spans="1:35">
      <c r="A121" s="55" t="s">
        <v>286</v>
      </c>
      <c r="B121" s="91">
        <v>0</v>
      </c>
      <c r="C121" s="91">
        <v>0</v>
      </c>
      <c r="D121" s="91">
        <v>23</v>
      </c>
      <c r="E121" s="90">
        <v>26</v>
      </c>
      <c r="F121" s="91">
        <v>23585</v>
      </c>
      <c r="G121" s="91">
        <v>20033</v>
      </c>
      <c r="H121" s="91">
        <v>4684</v>
      </c>
      <c r="I121" s="91">
        <v>208.96000000000015</v>
      </c>
      <c r="J121" s="91">
        <v>-1132</v>
      </c>
      <c r="K121" s="91">
        <v>25628</v>
      </c>
      <c r="L121" s="91">
        <v>21701</v>
      </c>
      <c r="M121" s="91">
        <v>20558</v>
      </c>
      <c r="N121" s="91">
        <v>27298</v>
      </c>
      <c r="O121" s="91">
        <v>4112</v>
      </c>
      <c r="P121" s="91">
        <v>705</v>
      </c>
      <c r="Q121" s="91">
        <v>0</v>
      </c>
      <c r="R121" s="91">
        <v>0</v>
      </c>
      <c r="S121" s="91">
        <v>-1265</v>
      </c>
      <c r="T121" s="91">
        <v>0</v>
      </c>
      <c r="U121" s="91">
        <v>0</v>
      </c>
      <c r="V121" s="202">
        <v>0</v>
      </c>
      <c r="W121" s="91">
        <v>-133</v>
      </c>
      <c r="X121" s="91">
        <v>0</v>
      </c>
      <c r="Y121" s="91">
        <v>1132</v>
      </c>
      <c r="Z121" s="91">
        <v>0</v>
      </c>
      <c r="AA121" s="91">
        <v>0</v>
      </c>
      <c r="AB121" s="91">
        <v>-133</v>
      </c>
      <c r="AC121" s="91">
        <v>-133</v>
      </c>
      <c r="AD121" s="91">
        <v>-133</v>
      </c>
      <c r="AE121" s="91">
        <v>-133</v>
      </c>
      <c r="AF121" s="91">
        <v>-133</v>
      </c>
      <c r="AG121" s="91">
        <v>-467</v>
      </c>
      <c r="AH121" s="84">
        <v>9.5</v>
      </c>
      <c r="AI121" s="97">
        <f t="shared" si="1"/>
        <v>3552</v>
      </c>
    </row>
    <row r="122" spans="1:35">
      <c r="A122" s="55" t="s">
        <v>287</v>
      </c>
      <c r="B122" s="91">
        <v>0</v>
      </c>
      <c r="C122" s="91">
        <v>0</v>
      </c>
      <c r="D122" s="91">
        <v>20</v>
      </c>
      <c r="E122" s="90">
        <v>24</v>
      </c>
      <c r="F122" s="91">
        <v>72058</v>
      </c>
      <c r="G122" s="91">
        <v>67531</v>
      </c>
      <c r="H122" s="91">
        <v>7920</v>
      </c>
      <c r="I122" s="91">
        <v>294.82999999999993</v>
      </c>
      <c r="J122" s="91">
        <v>-3393</v>
      </c>
      <c r="K122" s="91">
        <v>77992</v>
      </c>
      <c r="L122" s="91">
        <v>66350</v>
      </c>
      <c r="M122" s="91">
        <v>62872</v>
      </c>
      <c r="N122" s="91">
        <v>82885</v>
      </c>
      <c r="O122" s="91">
        <v>6146</v>
      </c>
      <c r="P122" s="91">
        <v>2151</v>
      </c>
      <c r="Q122" s="91">
        <v>0</v>
      </c>
      <c r="R122" s="91">
        <v>0</v>
      </c>
      <c r="S122" s="91">
        <v>-3770</v>
      </c>
      <c r="T122" s="91">
        <v>0</v>
      </c>
      <c r="U122" s="91">
        <v>0</v>
      </c>
      <c r="V122" s="202">
        <v>0</v>
      </c>
      <c r="W122" s="91">
        <v>-377</v>
      </c>
      <c r="X122" s="91">
        <v>0</v>
      </c>
      <c r="Y122" s="91">
        <v>3393</v>
      </c>
      <c r="Z122" s="91">
        <v>0</v>
      </c>
      <c r="AA122" s="91">
        <v>0</v>
      </c>
      <c r="AB122" s="91">
        <v>-377</v>
      </c>
      <c r="AC122" s="91">
        <v>-377</v>
      </c>
      <c r="AD122" s="91">
        <v>-377</v>
      </c>
      <c r="AE122" s="91">
        <v>-377</v>
      </c>
      <c r="AF122" s="91">
        <v>-377</v>
      </c>
      <c r="AG122" s="91">
        <v>-1508</v>
      </c>
      <c r="AH122" s="84">
        <v>10</v>
      </c>
      <c r="AI122" s="97">
        <f t="shared" si="1"/>
        <v>4527</v>
      </c>
    </row>
    <row r="123" spans="1:35">
      <c r="A123" s="55" t="s">
        <v>288</v>
      </c>
      <c r="B123" s="91">
        <v>0</v>
      </c>
      <c r="C123" s="91">
        <v>0</v>
      </c>
      <c r="D123" s="91">
        <v>9</v>
      </c>
      <c r="E123" s="90">
        <v>10</v>
      </c>
      <c r="F123" s="91">
        <v>38535</v>
      </c>
      <c r="G123" s="91">
        <v>36290</v>
      </c>
      <c r="H123" s="91">
        <v>3558</v>
      </c>
      <c r="I123" s="91">
        <v>237.70000000000027</v>
      </c>
      <c r="J123" s="91">
        <v>-1313</v>
      </c>
      <c r="K123" s="91">
        <v>40865</v>
      </c>
      <c r="L123" s="91">
        <v>36246</v>
      </c>
      <c r="M123" s="91">
        <v>34776</v>
      </c>
      <c r="N123" s="91">
        <v>42830</v>
      </c>
      <c r="O123" s="91">
        <v>2597</v>
      </c>
      <c r="P123" s="91">
        <v>1136</v>
      </c>
      <c r="Q123" s="91">
        <v>0</v>
      </c>
      <c r="R123" s="91">
        <v>0</v>
      </c>
      <c r="S123" s="91">
        <v>-1488</v>
      </c>
      <c r="T123" s="91">
        <v>0</v>
      </c>
      <c r="U123" s="91">
        <v>0</v>
      </c>
      <c r="V123" s="202">
        <v>0</v>
      </c>
      <c r="W123" s="91">
        <v>-175</v>
      </c>
      <c r="X123" s="91">
        <v>0</v>
      </c>
      <c r="Y123" s="91">
        <v>1313</v>
      </c>
      <c r="Z123" s="91">
        <v>0</v>
      </c>
      <c r="AA123" s="91">
        <v>0</v>
      </c>
      <c r="AB123" s="91">
        <v>-175</v>
      </c>
      <c r="AC123" s="91">
        <v>-175</v>
      </c>
      <c r="AD123" s="91">
        <v>-175</v>
      </c>
      <c r="AE123" s="91">
        <v>-175</v>
      </c>
      <c r="AF123" s="91">
        <v>-175</v>
      </c>
      <c r="AG123" s="91">
        <v>-438</v>
      </c>
      <c r="AH123" s="84">
        <v>8.5</v>
      </c>
      <c r="AI123" s="97">
        <f t="shared" si="1"/>
        <v>2245</v>
      </c>
    </row>
    <row r="124" spans="1:35">
      <c r="A124" s="55" t="s">
        <v>289</v>
      </c>
      <c r="B124" s="91">
        <v>0</v>
      </c>
      <c r="C124" s="91">
        <v>0</v>
      </c>
      <c r="D124" s="91">
        <v>0</v>
      </c>
      <c r="E124" s="90">
        <v>0</v>
      </c>
      <c r="F124" s="91">
        <v>0</v>
      </c>
      <c r="G124" s="91">
        <v>0</v>
      </c>
      <c r="H124" s="91">
        <v>0</v>
      </c>
      <c r="I124" s="91">
        <v>0</v>
      </c>
      <c r="J124" s="91">
        <v>0</v>
      </c>
      <c r="K124" s="91">
        <v>0</v>
      </c>
      <c r="L124" s="91">
        <v>0</v>
      </c>
      <c r="M124" s="91">
        <v>0</v>
      </c>
      <c r="N124" s="91">
        <v>0</v>
      </c>
      <c r="O124" s="91">
        <v>0</v>
      </c>
      <c r="P124" s="91">
        <v>0</v>
      </c>
      <c r="Q124" s="91">
        <v>0</v>
      </c>
      <c r="R124" s="91">
        <v>0</v>
      </c>
      <c r="S124" s="91">
        <v>0</v>
      </c>
      <c r="T124" s="91">
        <v>0</v>
      </c>
      <c r="U124" s="91">
        <v>0</v>
      </c>
      <c r="V124" s="202">
        <v>0</v>
      </c>
      <c r="W124" s="91">
        <v>0</v>
      </c>
      <c r="X124" s="91">
        <v>0</v>
      </c>
      <c r="Y124" s="91">
        <v>0</v>
      </c>
      <c r="Z124" s="91">
        <v>0</v>
      </c>
      <c r="AA124" s="91">
        <v>0</v>
      </c>
      <c r="AB124" s="91">
        <v>0</v>
      </c>
      <c r="AC124" s="91">
        <v>0</v>
      </c>
      <c r="AD124" s="91">
        <v>0</v>
      </c>
      <c r="AE124" s="91">
        <v>0</v>
      </c>
      <c r="AF124" s="91">
        <v>0</v>
      </c>
      <c r="AG124" s="91">
        <v>0</v>
      </c>
      <c r="AH124" s="84">
        <v>1</v>
      </c>
      <c r="AI124" s="97">
        <f t="shared" si="1"/>
        <v>0</v>
      </c>
    </row>
    <row r="125" spans="1:35">
      <c r="A125" s="55" t="s">
        <v>290</v>
      </c>
      <c r="B125" s="91">
        <v>0</v>
      </c>
      <c r="C125" s="91">
        <v>0</v>
      </c>
      <c r="D125" s="91">
        <v>23</v>
      </c>
      <c r="E125" s="90">
        <v>23</v>
      </c>
      <c r="F125" s="91">
        <v>63326</v>
      </c>
      <c r="G125" s="91">
        <v>58791</v>
      </c>
      <c r="H125" s="91">
        <v>7965</v>
      </c>
      <c r="I125" s="91">
        <v>389.45000000000016</v>
      </c>
      <c r="J125" s="91">
        <v>-3430</v>
      </c>
      <c r="K125" s="91">
        <v>69438</v>
      </c>
      <c r="L125" s="91">
        <v>57773</v>
      </c>
      <c r="M125" s="91">
        <v>54715</v>
      </c>
      <c r="N125" s="91">
        <v>73862</v>
      </c>
      <c r="O125" s="91">
        <v>6472</v>
      </c>
      <c r="P125" s="91">
        <v>1906</v>
      </c>
      <c r="Q125" s="91">
        <v>0</v>
      </c>
      <c r="R125" s="91">
        <v>0</v>
      </c>
      <c r="S125" s="91">
        <v>-3843</v>
      </c>
      <c r="T125" s="91">
        <v>0</v>
      </c>
      <c r="U125" s="91">
        <v>0</v>
      </c>
      <c r="V125" s="202">
        <v>0</v>
      </c>
      <c r="W125" s="91">
        <v>-413</v>
      </c>
      <c r="X125" s="91">
        <v>0</v>
      </c>
      <c r="Y125" s="91">
        <v>3430</v>
      </c>
      <c r="Z125" s="91">
        <v>0</v>
      </c>
      <c r="AA125" s="91">
        <v>0</v>
      </c>
      <c r="AB125" s="91">
        <v>-413</v>
      </c>
      <c r="AC125" s="91">
        <v>-413</v>
      </c>
      <c r="AD125" s="91">
        <v>-413</v>
      </c>
      <c r="AE125" s="91">
        <v>-413</v>
      </c>
      <c r="AF125" s="91">
        <v>-413</v>
      </c>
      <c r="AG125" s="91">
        <v>-1365</v>
      </c>
      <c r="AH125" s="84">
        <v>9.3000000000000007</v>
      </c>
      <c r="AI125" s="97">
        <f t="shared" si="1"/>
        <v>4535</v>
      </c>
    </row>
    <row r="126" spans="1:35">
      <c r="A126" s="55" t="s">
        <v>291</v>
      </c>
      <c r="B126" s="91">
        <v>0</v>
      </c>
      <c r="C126" s="91">
        <v>0</v>
      </c>
      <c r="D126" s="91">
        <v>9</v>
      </c>
      <c r="E126" s="90">
        <v>9</v>
      </c>
      <c r="F126" s="91">
        <v>12233</v>
      </c>
      <c r="G126" s="91">
        <v>9987</v>
      </c>
      <c r="H126" s="91">
        <v>2767</v>
      </c>
      <c r="I126" s="91">
        <v>9.6799999999999784</v>
      </c>
      <c r="J126" s="91">
        <v>-521</v>
      </c>
      <c r="K126" s="91">
        <v>13153</v>
      </c>
      <c r="L126" s="91">
        <v>11360</v>
      </c>
      <c r="M126" s="91">
        <v>10721</v>
      </c>
      <c r="N126" s="91">
        <v>14058</v>
      </c>
      <c r="O126" s="91">
        <v>2462</v>
      </c>
      <c r="P126" s="91">
        <v>363</v>
      </c>
      <c r="Q126" s="91">
        <v>0</v>
      </c>
      <c r="R126" s="91">
        <v>0</v>
      </c>
      <c r="S126" s="91">
        <v>-579</v>
      </c>
      <c r="T126" s="91">
        <v>0</v>
      </c>
      <c r="U126" s="91">
        <v>0</v>
      </c>
      <c r="V126" s="202">
        <v>0</v>
      </c>
      <c r="W126" s="91">
        <v>-58</v>
      </c>
      <c r="X126" s="91">
        <v>0</v>
      </c>
      <c r="Y126" s="91">
        <v>521</v>
      </c>
      <c r="Z126" s="91">
        <v>0</v>
      </c>
      <c r="AA126" s="91">
        <v>0</v>
      </c>
      <c r="AB126" s="91">
        <v>-58</v>
      </c>
      <c r="AC126" s="91">
        <v>-58</v>
      </c>
      <c r="AD126" s="91">
        <v>-58</v>
      </c>
      <c r="AE126" s="91">
        <v>-58</v>
      </c>
      <c r="AF126" s="91">
        <v>-58</v>
      </c>
      <c r="AG126" s="91">
        <v>-231</v>
      </c>
      <c r="AH126" s="84">
        <v>10</v>
      </c>
      <c r="AI126" s="97">
        <f t="shared" si="1"/>
        <v>2246</v>
      </c>
    </row>
    <row r="127" spans="1:35">
      <c r="A127" s="55" t="s">
        <v>292</v>
      </c>
      <c r="B127" s="91">
        <v>0</v>
      </c>
      <c r="C127" s="91">
        <v>0</v>
      </c>
      <c r="D127" s="91">
        <v>0</v>
      </c>
      <c r="E127" s="90">
        <v>0</v>
      </c>
      <c r="F127" s="91">
        <v>0</v>
      </c>
      <c r="G127" s="91">
        <v>0</v>
      </c>
      <c r="H127" s="91">
        <v>0</v>
      </c>
      <c r="I127" s="91">
        <v>0</v>
      </c>
      <c r="J127" s="91">
        <v>0</v>
      </c>
      <c r="K127" s="91">
        <v>0</v>
      </c>
      <c r="L127" s="91">
        <v>0</v>
      </c>
      <c r="M127" s="91">
        <v>0</v>
      </c>
      <c r="N127" s="91">
        <v>0</v>
      </c>
      <c r="O127" s="91">
        <v>0</v>
      </c>
      <c r="P127" s="91">
        <v>0</v>
      </c>
      <c r="Q127" s="91">
        <v>0</v>
      </c>
      <c r="R127" s="91">
        <v>0</v>
      </c>
      <c r="S127" s="91">
        <v>0</v>
      </c>
      <c r="T127" s="91">
        <v>0</v>
      </c>
      <c r="U127" s="91">
        <v>0</v>
      </c>
      <c r="V127" s="202">
        <v>0</v>
      </c>
      <c r="W127" s="91">
        <v>0</v>
      </c>
      <c r="X127" s="91">
        <v>0</v>
      </c>
      <c r="Y127" s="91">
        <v>0</v>
      </c>
      <c r="Z127" s="91">
        <v>0</v>
      </c>
      <c r="AA127" s="91">
        <v>0</v>
      </c>
      <c r="AB127" s="91">
        <v>0</v>
      </c>
      <c r="AC127" s="91">
        <v>0</v>
      </c>
      <c r="AD127" s="91">
        <v>0</v>
      </c>
      <c r="AE127" s="91">
        <v>0</v>
      </c>
      <c r="AF127" s="91">
        <v>0</v>
      </c>
      <c r="AG127" s="91">
        <v>0</v>
      </c>
      <c r="AH127" s="84">
        <v>1</v>
      </c>
      <c r="AI127" s="97">
        <f t="shared" si="1"/>
        <v>0</v>
      </c>
    </row>
    <row r="128" spans="1:35">
      <c r="A128" s="55" t="s">
        <v>293</v>
      </c>
      <c r="B128" s="91">
        <v>0</v>
      </c>
      <c r="C128" s="91">
        <v>0</v>
      </c>
      <c r="D128" s="91">
        <v>1</v>
      </c>
      <c r="E128" s="90">
        <v>1</v>
      </c>
      <c r="F128" s="91">
        <v>3649</v>
      </c>
      <c r="G128" s="91">
        <v>3567</v>
      </c>
      <c r="H128" s="91">
        <v>377</v>
      </c>
      <c r="I128" s="91">
        <v>0</v>
      </c>
      <c r="J128" s="91">
        <v>-295</v>
      </c>
      <c r="K128" s="91">
        <v>4156</v>
      </c>
      <c r="L128" s="91">
        <v>3188</v>
      </c>
      <c r="M128" s="91">
        <v>2926</v>
      </c>
      <c r="N128" s="91">
        <v>4549</v>
      </c>
      <c r="O128" s="91">
        <v>286</v>
      </c>
      <c r="P128" s="91">
        <v>112</v>
      </c>
      <c r="Q128" s="91">
        <v>0</v>
      </c>
      <c r="R128" s="91">
        <v>0</v>
      </c>
      <c r="S128" s="91">
        <v>-316</v>
      </c>
      <c r="T128" s="91">
        <v>0</v>
      </c>
      <c r="U128" s="91">
        <v>0</v>
      </c>
      <c r="V128" s="202">
        <v>0</v>
      </c>
      <c r="W128" s="91">
        <v>-21</v>
      </c>
      <c r="X128" s="91">
        <v>0</v>
      </c>
      <c r="Y128" s="91">
        <v>295</v>
      </c>
      <c r="Z128" s="91">
        <v>0</v>
      </c>
      <c r="AA128" s="91">
        <v>0</v>
      </c>
      <c r="AB128" s="91">
        <v>-21</v>
      </c>
      <c r="AC128" s="91">
        <v>-21</v>
      </c>
      <c r="AD128" s="91">
        <v>-21</v>
      </c>
      <c r="AE128" s="91">
        <v>-21</v>
      </c>
      <c r="AF128" s="91">
        <v>-21</v>
      </c>
      <c r="AG128" s="91">
        <v>-190</v>
      </c>
      <c r="AH128" s="84">
        <v>15.3</v>
      </c>
      <c r="AI128" s="97">
        <f t="shared" si="1"/>
        <v>82</v>
      </c>
    </row>
    <row r="129" spans="1:35">
      <c r="A129" s="55" t="s">
        <v>294</v>
      </c>
      <c r="B129" s="91">
        <v>0</v>
      </c>
      <c r="C129" s="91">
        <v>0</v>
      </c>
      <c r="D129" s="91">
        <v>1</v>
      </c>
      <c r="E129" s="90">
        <v>2</v>
      </c>
      <c r="F129" s="91">
        <v>7821</v>
      </c>
      <c r="G129" s="91">
        <v>7591</v>
      </c>
      <c r="H129" s="91">
        <v>497</v>
      </c>
      <c r="I129" s="91">
        <v>5.0000000000011369E-2</v>
      </c>
      <c r="J129" s="91">
        <v>-267</v>
      </c>
      <c r="K129" s="91">
        <v>8305</v>
      </c>
      <c r="L129" s="91">
        <v>7328</v>
      </c>
      <c r="M129" s="91">
        <v>7060</v>
      </c>
      <c r="N129" s="91">
        <v>8645</v>
      </c>
      <c r="O129" s="91">
        <v>304</v>
      </c>
      <c r="P129" s="91">
        <v>231</v>
      </c>
      <c r="Q129" s="91">
        <v>0</v>
      </c>
      <c r="R129" s="91">
        <v>0</v>
      </c>
      <c r="S129" s="91">
        <v>-305</v>
      </c>
      <c r="T129" s="91">
        <v>0</v>
      </c>
      <c r="U129" s="91">
        <v>0</v>
      </c>
      <c r="V129" s="202">
        <v>0</v>
      </c>
      <c r="W129" s="91">
        <v>-38</v>
      </c>
      <c r="X129" s="91">
        <v>0</v>
      </c>
      <c r="Y129" s="91">
        <v>267</v>
      </c>
      <c r="Z129" s="91">
        <v>0</v>
      </c>
      <c r="AA129" s="91">
        <v>0</v>
      </c>
      <c r="AB129" s="91">
        <v>-38</v>
      </c>
      <c r="AC129" s="91">
        <v>-38</v>
      </c>
      <c r="AD129" s="91">
        <v>-38</v>
      </c>
      <c r="AE129" s="91">
        <v>-38</v>
      </c>
      <c r="AF129" s="91">
        <v>-38</v>
      </c>
      <c r="AG129" s="91">
        <v>-77</v>
      </c>
      <c r="AH129" s="84">
        <v>8</v>
      </c>
      <c r="AI129" s="97">
        <f t="shared" si="1"/>
        <v>230</v>
      </c>
    </row>
    <row r="130" spans="1:35">
      <c r="A130" s="55" t="s">
        <v>295</v>
      </c>
      <c r="B130" s="91">
        <v>2</v>
      </c>
      <c r="C130" s="91">
        <v>0</v>
      </c>
      <c r="D130" s="91">
        <v>12</v>
      </c>
      <c r="E130" s="90">
        <v>12</v>
      </c>
      <c r="F130" s="91">
        <v>170690</v>
      </c>
      <c r="G130" s="91">
        <v>173282</v>
      </c>
      <c r="H130" s="91">
        <v>12049</v>
      </c>
      <c r="I130" s="91">
        <v>9385.090000000002</v>
      </c>
      <c r="J130" s="91">
        <v>-5857</v>
      </c>
      <c r="K130" s="91">
        <v>181352</v>
      </c>
      <c r="L130" s="91">
        <v>160313</v>
      </c>
      <c r="M130" s="91">
        <v>154096</v>
      </c>
      <c r="N130" s="91">
        <v>189826</v>
      </c>
      <c r="O130" s="91">
        <v>7819</v>
      </c>
      <c r="P130" s="91">
        <v>5160</v>
      </c>
      <c r="Q130" s="91">
        <v>0</v>
      </c>
      <c r="R130" s="91">
        <v>0</v>
      </c>
      <c r="S130" s="91">
        <v>-6787</v>
      </c>
      <c r="T130" s="91">
        <v>8784</v>
      </c>
      <c r="U130" s="91">
        <v>0</v>
      </c>
      <c r="V130" s="202">
        <v>0</v>
      </c>
      <c r="W130" s="91">
        <v>-930</v>
      </c>
      <c r="X130" s="91">
        <v>0</v>
      </c>
      <c r="Y130" s="91">
        <v>5857</v>
      </c>
      <c r="Z130" s="91">
        <v>0</v>
      </c>
      <c r="AA130" s="91">
        <v>0</v>
      </c>
      <c r="AB130" s="91">
        <v>-930</v>
      </c>
      <c r="AC130" s="91">
        <v>-930</v>
      </c>
      <c r="AD130" s="91">
        <v>-930</v>
      </c>
      <c r="AE130" s="91">
        <v>-930</v>
      </c>
      <c r="AF130" s="91">
        <v>-930</v>
      </c>
      <c r="AG130" s="91">
        <v>-1207</v>
      </c>
      <c r="AH130" s="84">
        <v>7.3</v>
      </c>
      <c r="AI130" s="97">
        <f t="shared" si="1"/>
        <v>-2592</v>
      </c>
    </row>
    <row r="131" spans="1:35">
      <c r="A131" s="55" t="s">
        <v>296</v>
      </c>
      <c r="B131" s="91">
        <v>0</v>
      </c>
      <c r="C131" s="91">
        <v>0</v>
      </c>
      <c r="D131" s="91">
        <v>0</v>
      </c>
      <c r="E131" s="90">
        <v>0</v>
      </c>
      <c r="F131" s="91">
        <v>0</v>
      </c>
      <c r="G131" s="91">
        <v>0</v>
      </c>
      <c r="H131" s="91">
        <v>0</v>
      </c>
      <c r="I131" s="91">
        <v>0</v>
      </c>
      <c r="J131" s="91">
        <v>0</v>
      </c>
      <c r="K131" s="91">
        <v>0</v>
      </c>
      <c r="L131" s="91">
        <v>0</v>
      </c>
      <c r="M131" s="91">
        <v>0</v>
      </c>
      <c r="N131" s="91">
        <v>0</v>
      </c>
      <c r="O131" s="91">
        <v>0</v>
      </c>
      <c r="P131" s="91">
        <v>0</v>
      </c>
      <c r="Q131" s="91">
        <v>0</v>
      </c>
      <c r="R131" s="91">
        <v>0</v>
      </c>
      <c r="S131" s="91">
        <v>0</v>
      </c>
      <c r="T131" s="91">
        <v>0</v>
      </c>
      <c r="U131" s="91">
        <v>0</v>
      </c>
      <c r="V131" s="202">
        <v>0</v>
      </c>
      <c r="W131" s="91">
        <v>0</v>
      </c>
      <c r="X131" s="91">
        <v>0</v>
      </c>
      <c r="Y131" s="91">
        <v>0</v>
      </c>
      <c r="Z131" s="91">
        <v>0</v>
      </c>
      <c r="AA131" s="91">
        <v>0</v>
      </c>
      <c r="AB131" s="91">
        <v>0</v>
      </c>
      <c r="AC131" s="91">
        <v>0</v>
      </c>
      <c r="AD131" s="91">
        <v>0</v>
      </c>
      <c r="AE131" s="91">
        <v>0</v>
      </c>
      <c r="AF131" s="91">
        <v>0</v>
      </c>
      <c r="AG131" s="91">
        <v>0</v>
      </c>
      <c r="AH131" s="84">
        <v>1</v>
      </c>
      <c r="AI131" s="97">
        <f t="shared" si="1"/>
        <v>0</v>
      </c>
    </row>
    <row r="132" spans="1:35">
      <c r="A132" s="55" t="s">
        <v>297</v>
      </c>
      <c r="B132" s="91">
        <v>0</v>
      </c>
      <c r="C132" s="91">
        <v>0</v>
      </c>
      <c r="D132" s="91">
        <v>0</v>
      </c>
      <c r="E132" s="90">
        <v>0</v>
      </c>
      <c r="F132" s="91">
        <v>0</v>
      </c>
      <c r="G132" s="91">
        <v>0</v>
      </c>
      <c r="H132" s="91">
        <v>0</v>
      </c>
      <c r="I132" s="91">
        <v>0</v>
      </c>
      <c r="J132" s="91">
        <v>0</v>
      </c>
      <c r="K132" s="91">
        <v>0</v>
      </c>
      <c r="L132" s="91">
        <v>0</v>
      </c>
      <c r="M132" s="91">
        <v>0</v>
      </c>
      <c r="N132" s="91">
        <v>0</v>
      </c>
      <c r="O132" s="91">
        <v>0</v>
      </c>
      <c r="P132" s="91">
        <v>0</v>
      </c>
      <c r="Q132" s="91">
        <v>0</v>
      </c>
      <c r="R132" s="91">
        <v>0</v>
      </c>
      <c r="S132" s="91">
        <v>0</v>
      </c>
      <c r="T132" s="91">
        <v>0</v>
      </c>
      <c r="U132" s="91">
        <v>0</v>
      </c>
      <c r="V132" s="202">
        <v>0</v>
      </c>
      <c r="W132" s="91">
        <v>0</v>
      </c>
      <c r="X132" s="91">
        <v>0</v>
      </c>
      <c r="Y132" s="91">
        <v>0</v>
      </c>
      <c r="Z132" s="91">
        <v>0</v>
      </c>
      <c r="AA132" s="91">
        <v>0</v>
      </c>
      <c r="AB132" s="91">
        <v>0</v>
      </c>
      <c r="AC132" s="91">
        <v>0</v>
      </c>
      <c r="AD132" s="91">
        <v>0</v>
      </c>
      <c r="AE132" s="91">
        <v>0</v>
      </c>
      <c r="AF132" s="91">
        <v>0</v>
      </c>
      <c r="AG132" s="91">
        <v>0</v>
      </c>
      <c r="AH132" s="84">
        <v>1</v>
      </c>
      <c r="AI132" s="97">
        <f t="shared" si="1"/>
        <v>0</v>
      </c>
    </row>
    <row r="133" spans="1:35">
      <c r="A133" s="55" t="s">
        <v>298</v>
      </c>
      <c r="B133" s="91">
        <v>0</v>
      </c>
      <c r="C133" s="91">
        <v>0</v>
      </c>
      <c r="D133" s="91">
        <v>59</v>
      </c>
      <c r="E133" s="90">
        <v>61</v>
      </c>
      <c r="F133" s="91">
        <v>68747</v>
      </c>
      <c r="G133" s="91">
        <v>62114</v>
      </c>
      <c r="H133" s="91">
        <v>9310</v>
      </c>
      <c r="I133" s="91">
        <v>925.63999999999987</v>
      </c>
      <c r="J133" s="91">
        <v>-2677</v>
      </c>
      <c r="K133" s="91">
        <v>73532</v>
      </c>
      <c r="L133" s="91">
        <v>64133</v>
      </c>
      <c r="M133" s="91">
        <v>60967</v>
      </c>
      <c r="N133" s="91">
        <v>77815</v>
      </c>
      <c r="O133" s="91">
        <v>7604</v>
      </c>
      <c r="P133" s="91">
        <v>2036</v>
      </c>
      <c r="Q133" s="91">
        <v>0</v>
      </c>
      <c r="R133" s="91">
        <v>0</v>
      </c>
      <c r="S133" s="91">
        <v>-3007</v>
      </c>
      <c r="T133" s="91">
        <v>0</v>
      </c>
      <c r="U133" s="91">
        <v>0</v>
      </c>
      <c r="V133" s="202">
        <v>0</v>
      </c>
      <c r="W133" s="91">
        <v>-330</v>
      </c>
      <c r="X133" s="91">
        <v>0</v>
      </c>
      <c r="Y133" s="91">
        <v>2677</v>
      </c>
      <c r="Z133" s="91">
        <v>0</v>
      </c>
      <c r="AA133" s="91">
        <v>0</v>
      </c>
      <c r="AB133" s="91">
        <v>-330</v>
      </c>
      <c r="AC133" s="91">
        <v>-330</v>
      </c>
      <c r="AD133" s="91">
        <v>-330</v>
      </c>
      <c r="AE133" s="91">
        <v>-330</v>
      </c>
      <c r="AF133" s="91">
        <v>-330</v>
      </c>
      <c r="AG133" s="91">
        <v>-1027</v>
      </c>
      <c r="AH133" s="84">
        <v>9.1</v>
      </c>
      <c r="AI133" s="97">
        <f t="shared" ref="AI133:AI196" si="2">O133+P133+Q133+R133+S133-T133</f>
        <v>6633</v>
      </c>
    </row>
    <row r="134" spans="1:35">
      <c r="A134" s="55" t="s">
        <v>299</v>
      </c>
      <c r="B134" s="91">
        <v>0</v>
      </c>
      <c r="C134" s="91">
        <v>0</v>
      </c>
      <c r="D134" s="91">
        <v>0</v>
      </c>
      <c r="E134" s="90">
        <v>3</v>
      </c>
      <c r="F134" s="91">
        <v>0</v>
      </c>
      <c r="G134" s="91">
        <v>0</v>
      </c>
      <c r="H134" s="91">
        <v>0</v>
      </c>
      <c r="I134" s="91">
        <v>0</v>
      </c>
      <c r="J134" s="91">
        <v>0</v>
      </c>
      <c r="K134" s="91">
        <v>0</v>
      </c>
      <c r="L134" s="91">
        <v>0</v>
      </c>
      <c r="M134" s="91">
        <v>0</v>
      </c>
      <c r="N134" s="91">
        <v>0</v>
      </c>
      <c r="O134" s="91">
        <v>0</v>
      </c>
      <c r="P134" s="91">
        <v>0</v>
      </c>
      <c r="Q134" s="91">
        <v>0</v>
      </c>
      <c r="R134" s="91">
        <v>0</v>
      </c>
      <c r="S134" s="91">
        <v>0</v>
      </c>
      <c r="T134" s="91">
        <v>0</v>
      </c>
      <c r="U134" s="91">
        <v>0</v>
      </c>
      <c r="V134" s="202">
        <v>0</v>
      </c>
      <c r="W134" s="91">
        <v>0</v>
      </c>
      <c r="X134" s="91">
        <v>0</v>
      </c>
      <c r="Y134" s="91">
        <v>0</v>
      </c>
      <c r="Z134" s="91">
        <v>0</v>
      </c>
      <c r="AA134" s="91">
        <v>0</v>
      </c>
      <c r="AB134" s="91">
        <v>0</v>
      </c>
      <c r="AC134" s="91">
        <v>0</v>
      </c>
      <c r="AD134" s="91">
        <v>0</v>
      </c>
      <c r="AE134" s="91">
        <v>0</v>
      </c>
      <c r="AF134" s="91">
        <v>0</v>
      </c>
      <c r="AG134" s="91">
        <v>0</v>
      </c>
      <c r="AH134" s="84">
        <v>1</v>
      </c>
      <c r="AI134" s="97">
        <f t="shared" si="2"/>
        <v>0</v>
      </c>
    </row>
    <row r="135" spans="1:35">
      <c r="A135" s="55" t="s">
        <v>300</v>
      </c>
      <c r="B135" s="91">
        <v>0</v>
      </c>
      <c r="C135" s="91">
        <v>0</v>
      </c>
      <c r="D135" s="91">
        <v>3</v>
      </c>
      <c r="E135" s="90">
        <v>3</v>
      </c>
      <c r="F135" s="91">
        <v>0</v>
      </c>
      <c r="G135" s="91">
        <v>0</v>
      </c>
      <c r="H135" s="91">
        <v>0</v>
      </c>
      <c r="I135" s="91">
        <v>0</v>
      </c>
      <c r="J135" s="91">
        <v>0</v>
      </c>
      <c r="K135" s="91">
        <v>0</v>
      </c>
      <c r="L135" s="91">
        <v>0</v>
      </c>
      <c r="M135" s="91">
        <v>0</v>
      </c>
      <c r="N135" s="91">
        <v>0</v>
      </c>
      <c r="O135" s="91">
        <v>0</v>
      </c>
      <c r="P135" s="91">
        <v>0</v>
      </c>
      <c r="Q135" s="91">
        <v>0</v>
      </c>
      <c r="R135" s="91">
        <v>0</v>
      </c>
      <c r="S135" s="91">
        <v>0</v>
      </c>
      <c r="T135" s="91">
        <v>0</v>
      </c>
      <c r="U135" s="91">
        <v>0</v>
      </c>
      <c r="V135" s="202">
        <v>0</v>
      </c>
      <c r="W135" s="91">
        <v>0</v>
      </c>
      <c r="X135" s="91">
        <v>0</v>
      </c>
      <c r="Y135" s="91">
        <v>0</v>
      </c>
      <c r="Z135" s="91">
        <v>0</v>
      </c>
      <c r="AA135" s="91">
        <v>0</v>
      </c>
      <c r="AB135" s="91">
        <v>0</v>
      </c>
      <c r="AC135" s="91">
        <v>0</v>
      </c>
      <c r="AD135" s="91">
        <v>0</v>
      </c>
      <c r="AE135" s="91">
        <v>0</v>
      </c>
      <c r="AF135" s="91">
        <v>0</v>
      </c>
      <c r="AG135" s="91">
        <v>0</v>
      </c>
      <c r="AH135" s="84">
        <v>4.5</v>
      </c>
      <c r="AI135" s="97">
        <f t="shared" si="2"/>
        <v>0</v>
      </c>
    </row>
    <row r="136" spans="1:35" ht="22.5">
      <c r="A136" s="55" t="s">
        <v>301</v>
      </c>
      <c r="B136" s="91">
        <v>0</v>
      </c>
      <c r="C136" s="91">
        <v>0</v>
      </c>
      <c r="D136" s="91">
        <v>80</v>
      </c>
      <c r="E136" s="90">
        <v>82</v>
      </c>
      <c r="F136" s="91">
        <v>165093</v>
      </c>
      <c r="G136" s="91">
        <v>157616</v>
      </c>
      <c r="H136" s="91">
        <v>14719</v>
      </c>
      <c r="I136" s="91">
        <v>1403.7699999999986</v>
      </c>
      <c r="J136" s="91">
        <v>-7242</v>
      </c>
      <c r="K136" s="91">
        <v>177836</v>
      </c>
      <c r="L136" s="91">
        <v>153037</v>
      </c>
      <c r="M136" s="91">
        <v>145893</v>
      </c>
      <c r="N136" s="91">
        <v>187561</v>
      </c>
      <c r="O136" s="91">
        <v>10667</v>
      </c>
      <c r="P136" s="91">
        <v>4914</v>
      </c>
      <c r="Q136" s="91">
        <v>0</v>
      </c>
      <c r="R136" s="91">
        <v>0</v>
      </c>
      <c r="S136" s="91">
        <v>-8104</v>
      </c>
      <c r="T136" s="91">
        <v>0</v>
      </c>
      <c r="U136" s="91">
        <v>0</v>
      </c>
      <c r="V136" s="202">
        <v>0</v>
      </c>
      <c r="W136" s="91">
        <v>-862</v>
      </c>
      <c r="X136" s="91">
        <v>0</v>
      </c>
      <c r="Y136" s="91">
        <v>7242</v>
      </c>
      <c r="Z136" s="91">
        <v>0</v>
      </c>
      <c r="AA136" s="91">
        <v>0</v>
      </c>
      <c r="AB136" s="91">
        <v>-862</v>
      </c>
      <c r="AC136" s="91">
        <v>-862</v>
      </c>
      <c r="AD136" s="91">
        <v>-862</v>
      </c>
      <c r="AE136" s="91">
        <v>-862</v>
      </c>
      <c r="AF136" s="91">
        <v>-862</v>
      </c>
      <c r="AG136" s="91">
        <v>-2932</v>
      </c>
      <c r="AH136" s="84">
        <v>9.4</v>
      </c>
      <c r="AI136" s="97">
        <f t="shared" si="2"/>
        <v>7477</v>
      </c>
    </row>
    <row r="137" spans="1:35">
      <c r="A137" s="55" t="s">
        <v>302</v>
      </c>
      <c r="B137" s="91">
        <v>0</v>
      </c>
      <c r="C137" s="91">
        <v>0</v>
      </c>
      <c r="D137" s="91">
        <v>0</v>
      </c>
      <c r="E137" s="90">
        <v>0</v>
      </c>
      <c r="F137" s="91">
        <v>0</v>
      </c>
      <c r="G137" s="91">
        <v>0</v>
      </c>
      <c r="H137" s="91">
        <v>0</v>
      </c>
      <c r="I137" s="91">
        <v>0</v>
      </c>
      <c r="J137" s="91">
        <v>0</v>
      </c>
      <c r="K137" s="91">
        <v>0</v>
      </c>
      <c r="L137" s="91">
        <v>0</v>
      </c>
      <c r="M137" s="91">
        <v>0</v>
      </c>
      <c r="N137" s="91">
        <v>0</v>
      </c>
      <c r="O137" s="91">
        <v>0</v>
      </c>
      <c r="P137" s="91">
        <v>0</v>
      </c>
      <c r="Q137" s="91">
        <v>0</v>
      </c>
      <c r="R137" s="91">
        <v>0</v>
      </c>
      <c r="S137" s="91">
        <v>0</v>
      </c>
      <c r="T137" s="91">
        <v>0</v>
      </c>
      <c r="U137" s="91">
        <v>0</v>
      </c>
      <c r="V137" s="202">
        <v>0</v>
      </c>
      <c r="W137" s="91">
        <v>0</v>
      </c>
      <c r="X137" s="91">
        <v>0</v>
      </c>
      <c r="Y137" s="91">
        <v>0</v>
      </c>
      <c r="Z137" s="91">
        <v>0</v>
      </c>
      <c r="AA137" s="91">
        <v>0</v>
      </c>
      <c r="AB137" s="91">
        <v>0</v>
      </c>
      <c r="AC137" s="91">
        <v>0</v>
      </c>
      <c r="AD137" s="91">
        <v>0</v>
      </c>
      <c r="AE137" s="91">
        <v>0</v>
      </c>
      <c r="AF137" s="91">
        <v>0</v>
      </c>
      <c r="AG137" s="91">
        <v>0</v>
      </c>
      <c r="AH137" s="84">
        <v>1</v>
      </c>
      <c r="AI137" s="97">
        <f t="shared" si="2"/>
        <v>0</v>
      </c>
    </row>
    <row r="138" spans="1:35">
      <c r="A138" s="55" t="s">
        <v>303</v>
      </c>
      <c r="B138" s="91">
        <v>0</v>
      </c>
      <c r="C138" s="91">
        <v>0</v>
      </c>
      <c r="D138" s="91">
        <v>0</v>
      </c>
      <c r="E138" s="90">
        <v>0</v>
      </c>
      <c r="F138" s="91">
        <v>0</v>
      </c>
      <c r="G138" s="91">
        <v>0</v>
      </c>
      <c r="H138" s="91">
        <v>0</v>
      </c>
      <c r="I138" s="91">
        <v>0</v>
      </c>
      <c r="J138" s="91">
        <v>0</v>
      </c>
      <c r="K138" s="91">
        <v>0</v>
      </c>
      <c r="L138" s="91">
        <v>0</v>
      </c>
      <c r="M138" s="91">
        <v>0</v>
      </c>
      <c r="N138" s="91">
        <v>0</v>
      </c>
      <c r="O138" s="91">
        <v>0</v>
      </c>
      <c r="P138" s="91">
        <v>0</v>
      </c>
      <c r="Q138" s="91">
        <v>0</v>
      </c>
      <c r="R138" s="91">
        <v>0</v>
      </c>
      <c r="S138" s="91">
        <v>0</v>
      </c>
      <c r="T138" s="91">
        <v>0</v>
      </c>
      <c r="U138" s="91">
        <v>0</v>
      </c>
      <c r="V138" s="202">
        <v>0</v>
      </c>
      <c r="W138" s="91">
        <v>0</v>
      </c>
      <c r="X138" s="91">
        <v>0</v>
      </c>
      <c r="Y138" s="91">
        <v>0</v>
      </c>
      <c r="Z138" s="91">
        <v>0</v>
      </c>
      <c r="AA138" s="91">
        <v>0</v>
      </c>
      <c r="AB138" s="91">
        <v>0</v>
      </c>
      <c r="AC138" s="91">
        <v>0</v>
      </c>
      <c r="AD138" s="91">
        <v>0</v>
      </c>
      <c r="AE138" s="91">
        <v>0</v>
      </c>
      <c r="AF138" s="91">
        <v>0</v>
      </c>
      <c r="AG138" s="91">
        <v>0</v>
      </c>
      <c r="AH138" s="84">
        <v>1</v>
      </c>
      <c r="AI138" s="97">
        <f t="shared" si="2"/>
        <v>0</v>
      </c>
    </row>
    <row r="139" spans="1:35">
      <c r="A139" s="55" t="s">
        <v>304</v>
      </c>
      <c r="B139" s="91">
        <v>0</v>
      </c>
      <c r="C139" s="91">
        <v>0</v>
      </c>
      <c r="D139" s="91">
        <v>0</v>
      </c>
      <c r="E139" s="90">
        <v>0</v>
      </c>
      <c r="F139" s="91">
        <v>0</v>
      </c>
      <c r="G139" s="91">
        <v>0</v>
      </c>
      <c r="H139" s="91">
        <v>0</v>
      </c>
      <c r="I139" s="91">
        <v>0</v>
      </c>
      <c r="J139" s="91">
        <v>0</v>
      </c>
      <c r="K139" s="91">
        <v>0</v>
      </c>
      <c r="L139" s="91">
        <v>0</v>
      </c>
      <c r="M139" s="91">
        <v>0</v>
      </c>
      <c r="N139" s="91">
        <v>0</v>
      </c>
      <c r="O139" s="91">
        <v>0</v>
      </c>
      <c r="P139" s="91">
        <v>0</v>
      </c>
      <c r="Q139" s="91">
        <v>0</v>
      </c>
      <c r="R139" s="91">
        <v>0</v>
      </c>
      <c r="S139" s="91">
        <v>0</v>
      </c>
      <c r="T139" s="91">
        <v>0</v>
      </c>
      <c r="U139" s="91">
        <v>0</v>
      </c>
      <c r="V139" s="202">
        <v>0</v>
      </c>
      <c r="W139" s="91">
        <v>0</v>
      </c>
      <c r="X139" s="91">
        <v>0</v>
      </c>
      <c r="Y139" s="91">
        <v>0</v>
      </c>
      <c r="Z139" s="91">
        <v>0</v>
      </c>
      <c r="AA139" s="91">
        <v>0</v>
      </c>
      <c r="AB139" s="91">
        <v>0</v>
      </c>
      <c r="AC139" s="91">
        <v>0</v>
      </c>
      <c r="AD139" s="91">
        <v>0</v>
      </c>
      <c r="AE139" s="91">
        <v>0</v>
      </c>
      <c r="AF139" s="91">
        <v>0</v>
      </c>
      <c r="AG139" s="91">
        <v>0</v>
      </c>
      <c r="AH139" s="84">
        <v>1</v>
      </c>
      <c r="AI139" s="97">
        <f t="shared" si="2"/>
        <v>0</v>
      </c>
    </row>
    <row r="140" spans="1:35" ht="22.5">
      <c r="A140" s="55" t="s">
        <v>305</v>
      </c>
      <c r="B140" s="91">
        <v>0</v>
      </c>
      <c r="C140" s="91">
        <v>0</v>
      </c>
      <c r="D140" s="91">
        <v>41</v>
      </c>
      <c r="E140" s="90">
        <v>49</v>
      </c>
      <c r="F140" s="91">
        <v>36665</v>
      </c>
      <c r="G140" s="91">
        <v>30652</v>
      </c>
      <c r="H140" s="91">
        <v>7312</v>
      </c>
      <c r="I140" s="91">
        <v>167.95000000000005</v>
      </c>
      <c r="J140" s="91">
        <v>-1299</v>
      </c>
      <c r="K140" s="91">
        <v>38898</v>
      </c>
      <c r="L140" s="91">
        <v>34525</v>
      </c>
      <c r="M140" s="91">
        <v>32835</v>
      </c>
      <c r="N140" s="91">
        <v>41044</v>
      </c>
      <c r="O140" s="91">
        <v>6397</v>
      </c>
      <c r="P140" s="91">
        <v>1082</v>
      </c>
      <c r="Q140" s="91">
        <v>0</v>
      </c>
      <c r="R140" s="91">
        <v>0</v>
      </c>
      <c r="S140" s="91">
        <v>-1466</v>
      </c>
      <c r="T140" s="91">
        <v>0</v>
      </c>
      <c r="U140" s="91">
        <v>0</v>
      </c>
      <c r="V140" s="202">
        <v>0</v>
      </c>
      <c r="W140" s="91">
        <v>-167</v>
      </c>
      <c r="X140" s="91">
        <v>0</v>
      </c>
      <c r="Y140" s="91">
        <v>1299</v>
      </c>
      <c r="Z140" s="91">
        <v>0</v>
      </c>
      <c r="AA140" s="91">
        <v>0</v>
      </c>
      <c r="AB140" s="91">
        <v>-167</v>
      </c>
      <c r="AC140" s="91">
        <v>-167</v>
      </c>
      <c r="AD140" s="91">
        <v>-167</v>
      </c>
      <c r="AE140" s="91">
        <v>-167</v>
      </c>
      <c r="AF140" s="91">
        <v>-167</v>
      </c>
      <c r="AG140" s="91">
        <v>-464</v>
      </c>
      <c r="AH140" s="84">
        <v>8.8000000000000007</v>
      </c>
      <c r="AI140" s="97">
        <f t="shared" si="2"/>
        <v>6013</v>
      </c>
    </row>
    <row r="141" spans="1:35">
      <c r="A141" s="55" t="s">
        <v>306</v>
      </c>
      <c r="B141" s="91">
        <v>0</v>
      </c>
      <c r="C141" s="91">
        <v>0</v>
      </c>
      <c r="D141" s="91">
        <v>5</v>
      </c>
      <c r="E141" s="90">
        <v>5</v>
      </c>
      <c r="F141" s="91">
        <v>5346</v>
      </c>
      <c r="G141" s="91">
        <v>4370</v>
      </c>
      <c r="H141" s="91">
        <v>1250</v>
      </c>
      <c r="I141" s="91">
        <v>124.67000000000002</v>
      </c>
      <c r="J141" s="91">
        <v>-274</v>
      </c>
      <c r="K141" s="91">
        <v>5902</v>
      </c>
      <c r="L141" s="91">
        <v>4854</v>
      </c>
      <c r="M141" s="91">
        <v>4542</v>
      </c>
      <c r="N141" s="91">
        <v>6374</v>
      </c>
      <c r="O141" s="91">
        <v>1122</v>
      </c>
      <c r="P141" s="91">
        <v>160</v>
      </c>
      <c r="Q141" s="91">
        <v>0</v>
      </c>
      <c r="R141" s="91">
        <v>0</v>
      </c>
      <c r="S141" s="91">
        <v>-306</v>
      </c>
      <c r="T141" s="91">
        <v>0</v>
      </c>
      <c r="U141" s="91">
        <v>0</v>
      </c>
      <c r="V141" s="202">
        <v>0</v>
      </c>
      <c r="W141" s="91">
        <v>-32</v>
      </c>
      <c r="X141" s="91">
        <v>0</v>
      </c>
      <c r="Y141" s="91">
        <v>274</v>
      </c>
      <c r="Z141" s="91">
        <v>0</v>
      </c>
      <c r="AA141" s="91">
        <v>0</v>
      </c>
      <c r="AB141" s="91">
        <v>-32</v>
      </c>
      <c r="AC141" s="91">
        <v>-32</v>
      </c>
      <c r="AD141" s="91">
        <v>-32</v>
      </c>
      <c r="AE141" s="91">
        <v>-32</v>
      </c>
      <c r="AF141" s="91">
        <v>-32</v>
      </c>
      <c r="AG141" s="91">
        <v>-114</v>
      </c>
      <c r="AH141" s="84">
        <v>9.6</v>
      </c>
      <c r="AI141" s="97">
        <f t="shared" si="2"/>
        <v>976</v>
      </c>
    </row>
    <row r="142" spans="1:35">
      <c r="A142" s="55" t="s">
        <v>307</v>
      </c>
      <c r="B142" s="91">
        <v>1</v>
      </c>
      <c r="C142" s="91">
        <v>0</v>
      </c>
      <c r="D142" s="91">
        <v>137</v>
      </c>
      <c r="E142" s="90">
        <v>156</v>
      </c>
      <c r="F142" s="91">
        <v>352166</v>
      </c>
      <c r="G142" s="91">
        <v>336355</v>
      </c>
      <c r="H142" s="91">
        <v>38414</v>
      </c>
      <c r="I142" s="91">
        <v>6271.4599999999955</v>
      </c>
      <c r="J142" s="91">
        <v>-18257</v>
      </c>
      <c r="K142" s="91">
        <v>384075</v>
      </c>
      <c r="L142" s="91">
        <v>322084</v>
      </c>
      <c r="M142" s="91">
        <v>304716</v>
      </c>
      <c r="N142" s="91">
        <v>409167</v>
      </c>
      <c r="O142" s="91">
        <v>29930</v>
      </c>
      <c r="P142" s="91">
        <v>10632</v>
      </c>
      <c r="Q142" s="91">
        <v>0</v>
      </c>
      <c r="R142" s="91">
        <v>0</v>
      </c>
      <c r="S142" s="91">
        <v>-20405</v>
      </c>
      <c r="T142" s="91">
        <v>4346</v>
      </c>
      <c r="U142" s="91">
        <v>0</v>
      </c>
      <c r="V142" s="202">
        <v>0</v>
      </c>
      <c r="W142" s="91">
        <v>-2148</v>
      </c>
      <c r="X142" s="91">
        <v>0</v>
      </c>
      <c r="Y142" s="91">
        <v>18257</v>
      </c>
      <c r="Z142" s="91">
        <v>0</v>
      </c>
      <c r="AA142" s="91">
        <v>0</v>
      </c>
      <c r="AB142" s="91">
        <v>-2148</v>
      </c>
      <c r="AC142" s="91">
        <v>-2148</v>
      </c>
      <c r="AD142" s="91">
        <v>-2148</v>
      </c>
      <c r="AE142" s="91">
        <v>-2148</v>
      </c>
      <c r="AF142" s="91">
        <v>-2148</v>
      </c>
      <c r="AG142" s="91">
        <v>-7517</v>
      </c>
      <c r="AH142" s="84">
        <v>9.5</v>
      </c>
      <c r="AI142" s="97">
        <f t="shared" si="2"/>
        <v>15811</v>
      </c>
    </row>
    <row r="143" spans="1:35" ht="22.5">
      <c r="A143" s="55" t="s">
        <v>308</v>
      </c>
      <c r="B143" s="91">
        <v>0</v>
      </c>
      <c r="C143" s="91">
        <v>0</v>
      </c>
      <c r="D143" s="91">
        <v>38</v>
      </c>
      <c r="E143" s="90">
        <v>49</v>
      </c>
      <c r="F143" s="91">
        <v>94736</v>
      </c>
      <c r="G143" s="91">
        <v>86027</v>
      </c>
      <c r="H143" s="91">
        <v>12620</v>
      </c>
      <c r="I143" s="91">
        <v>396.05000000000064</v>
      </c>
      <c r="J143" s="91">
        <v>-3911</v>
      </c>
      <c r="K143" s="91">
        <v>101548</v>
      </c>
      <c r="L143" s="91">
        <v>88182</v>
      </c>
      <c r="M143" s="91">
        <v>83725</v>
      </c>
      <c r="N143" s="91">
        <v>107468</v>
      </c>
      <c r="O143" s="91">
        <v>10253</v>
      </c>
      <c r="P143" s="91">
        <v>2811</v>
      </c>
      <c r="Q143" s="91">
        <v>0</v>
      </c>
      <c r="R143" s="91">
        <v>0</v>
      </c>
      <c r="S143" s="91">
        <v>-4355</v>
      </c>
      <c r="T143" s="91">
        <v>0</v>
      </c>
      <c r="U143" s="91">
        <v>0</v>
      </c>
      <c r="V143" s="202">
        <v>0</v>
      </c>
      <c r="W143" s="91">
        <v>-444</v>
      </c>
      <c r="X143" s="91">
        <v>0</v>
      </c>
      <c r="Y143" s="91">
        <v>3911</v>
      </c>
      <c r="Z143" s="91">
        <v>0</v>
      </c>
      <c r="AA143" s="91">
        <v>0</v>
      </c>
      <c r="AB143" s="91">
        <v>-444</v>
      </c>
      <c r="AC143" s="91">
        <v>-444</v>
      </c>
      <c r="AD143" s="91">
        <v>-444</v>
      </c>
      <c r="AE143" s="91">
        <v>-444</v>
      </c>
      <c r="AF143" s="91">
        <v>-444</v>
      </c>
      <c r="AG143" s="91">
        <v>-1691</v>
      </c>
      <c r="AH143" s="84">
        <v>9.8000000000000007</v>
      </c>
      <c r="AI143" s="97">
        <f t="shared" si="2"/>
        <v>8709</v>
      </c>
    </row>
    <row r="144" spans="1:35">
      <c r="A144" s="55" t="s">
        <v>309</v>
      </c>
      <c r="B144" s="91">
        <v>1</v>
      </c>
      <c r="C144" s="91">
        <v>0</v>
      </c>
      <c r="D144" s="91">
        <v>328</v>
      </c>
      <c r="E144" s="90">
        <v>370</v>
      </c>
      <c r="F144" s="91">
        <v>635129</v>
      </c>
      <c r="G144" s="91">
        <v>590476</v>
      </c>
      <c r="H144" s="91">
        <v>78678</v>
      </c>
      <c r="I144" s="91">
        <v>10114.48000000001</v>
      </c>
      <c r="J144" s="91">
        <v>-29491</v>
      </c>
      <c r="K144" s="91">
        <v>687437</v>
      </c>
      <c r="L144" s="91">
        <v>586138</v>
      </c>
      <c r="M144" s="91">
        <v>556736</v>
      </c>
      <c r="N144" s="91">
        <v>728787</v>
      </c>
      <c r="O144" s="91">
        <v>63210</v>
      </c>
      <c r="P144" s="91">
        <v>19021</v>
      </c>
      <c r="Q144" s="91">
        <v>0</v>
      </c>
      <c r="R144" s="91">
        <v>0</v>
      </c>
      <c r="S144" s="91">
        <v>-33044</v>
      </c>
      <c r="T144" s="91">
        <v>4534</v>
      </c>
      <c r="U144" s="91">
        <v>0</v>
      </c>
      <c r="V144" s="202">
        <v>0</v>
      </c>
      <c r="W144" s="91">
        <v>-3553</v>
      </c>
      <c r="X144" s="91">
        <v>0</v>
      </c>
      <c r="Y144" s="91">
        <v>29491</v>
      </c>
      <c r="Z144" s="91">
        <v>0</v>
      </c>
      <c r="AA144" s="91">
        <v>0</v>
      </c>
      <c r="AB144" s="91">
        <v>-3553</v>
      </c>
      <c r="AC144" s="91">
        <v>-3553</v>
      </c>
      <c r="AD144" s="91">
        <v>-3553</v>
      </c>
      <c r="AE144" s="91">
        <v>-3553</v>
      </c>
      <c r="AF144" s="91">
        <v>-3553</v>
      </c>
      <c r="AG144" s="91">
        <v>-11726</v>
      </c>
      <c r="AH144" s="84">
        <v>9.3000000000000007</v>
      </c>
      <c r="AI144" s="97">
        <f t="shared" si="2"/>
        <v>44653</v>
      </c>
    </row>
    <row r="145" spans="1:35" ht="22.5">
      <c r="A145" s="55" t="s">
        <v>310</v>
      </c>
      <c r="B145" s="91">
        <v>0</v>
      </c>
      <c r="C145" s="91">
        <v>0</v>
      </c>
      <c r="D145" s="91">
        <v>0</v>
      </c>
      <c r="E145" s="90">
        <v>0</v>
      </c>
      <c r="F145" s="91">
        <v>0</v>
      </c>
      <c r="G145" s="91">
        <v>0</v>
      </c>
      <c r="H145" s="91">
        <v>0</v>
      </c>
      <c r="I145" s="91">
        <v>0</v>
      </c>
      <c r="J145" s="91">
        <v>0</v>
      </c>
      <c r="K145" s="91">
        <v>0</v>
      </c>
      <c r="L145" s="91">
        <v>0</v>
      </c>
      <c r="M145" s="91">
        <v>0</v>
      </c>
      <c r="N145" s="91">
        <v>0</v>
      </c>
      <c r="O145" s="91">
        <v>0</v>
      </c>
      <c r="P145" s="91">
        <v>0</v>
      </c>
      <c r="Q145" s="91">
        <v>0</v>
      </c>
      <c r="R145" s="91">
        <v>0</v>
      </c>
      <c r="S145" s="91">
        <v>0</v>
      </c>
      <c r="T145" s="91">
        <v>0</v>
      </c>
      <c r="U145" s="91">
        <v>0</v>
      </c>
      <c r="V145" s="202">
        <v>0</v>
      </c>
      <c r="W145" s="91">
        <v>0</v>
      </c>
      <c r="X145" s="91">
        <v>0</v>
      </c>
      <c r="Y145" s="91">
        <v>0</v>
      </c>
      <c r="Z145" s="91">
        <v>0</v>
      </c>
      <c r="AA145" s="91">
        <v>0</v>
      </c>
      <c r="AB145" s="91">
        <v>0</v>
      </c>
      <c r="AC145" s="91">
        <v>0</v>
      </c>
      <c r="AD145" s="91">
        <v>0</v>
      </c>
      <c r="AE145" s="91">
        <v>0</v>
      </c>
      <c r="AF145" s="91">
        <v>0</v>
      </c>
      <c r="AG145" s="91">
        <v>0</v>
      </c>
      <c r="AH145" s="84">
        <v>1</v>
      </c>
      <c r="AI145" s="97">
        <f t="shared" si="2"/>
        <v>0</v>
      </c>
    </row>
    <row r="146" spans="1:35">
      <c r="A146" s="55" t="s">
        <v>311</v>
      </c>
      <c r="B146" s="91">
        <v>0</v>
      </c>
      <c r="C146" s="91">
        <v>0</v>
      </c>
      <c r="D146" s="91">
        <v>24</v>
      </c>
      <c r="E146" s="90">
        <v>26</v>
      </c>
      <c r="F146" s="91">
        <v>9390</v>
      </c>
      <c r="G146" s="91">
        <v>8321</v>
      </c>
      <c r="H146" s="91">
        <v>1397</v>
      </c>
      <c r="I146" s="91">
        <v>138.01999999999998</v>
      </c>
      <c r="J146" s="91">
        <v>-328</v>
      </c>
      <c r="K146" s="91">
        <v>9980</v>
      </c>
      <c r="L146" s="91">
        <v>8829</v>
      </c>
      <c r="M146" s="91">
        <v>8296</v>
      </c>
      <c r="N146" s="91">
        <v>10671</v>
      </c>
      <c r="O146" s="91">
        <v>1160</v>
      </c>
      <c r="P146" s="91">
        <v>277</v>
      </c>
      <c r="Q146" s="91">
        <v>0</v>
      </c>
      <c r="R146" s="91">
        <v>0</v>
      </c>
      <c r="S146" s="91">
        <v>-368</v>
      </c>
      <c r="T146" s="91">
        <v>0</v>
      </c>
      <c r="U146" s="91">
        <v>0</v>
      </c>
      <c r="V146" s="202">
        <v>0</v>
      </c>
      <c r="W146" s="91">
        <v>-40</v>
      </c>
      <c r="X146" s="91">
        <v>0</v>
      </c>
      <c r="Y146" s="91">
        <v>328</v>
      </c>
      <c r="Z146" s="91">
        <v>0</v>
      </c>
      <c r="AA146" s="91">
        <v>0</v>
      </c>
      <c r="AB146" s="91">
        <v>-40</v>
      </c>
      <c r="AC146" s="91">
        <v>-40</v>
      </c>
      <c r="AD146" s="91">
        <v>-40</v>
      </c>
      <c r="AE146" s="91">
        <v>-40</v>
      </c>
      <c r="AF146" s="91">
        <v>-40</v>
      </c>
      <c r="AG146" s="91">
        <v>-128</v>
      </c>
      <c r="AH146" s="84">
        <v>9.3000000000000007</v>
      </c>
      <c r="AI146" s="97">
        <f t="shared" si="2"/>
        <v>1069</v>
      </c>
    </row>
    <row r="147" spans="1:35" ht="22.5">
      <c r="A147" s="55" t="s">
        <v>312</v>
      </c>
      <c r="B147" s="91">
        <v>0</v>
      </c>
      <c r="C147" s="91">
        <v>0</v>
      </c>
      <c r="D147" s="91">
        <v>28</v>
      </c>
      <c r="E147" s="90">
        <v>32</v>
      </c>
      <c r="F147" s="91">
        <v>28613</v>
      </c>
      <c r="G147" s="91">
        <v>23647</v>
      </c>
      <c r="H147" s="91">
        <v>6265</v>
      </c>
      <c r="I147" s="91">
        <v>218.61000000000007</v>
      </c>
      <c r="J147" s="91">
        <v>-1299</v>
      </c>
      <c r="K147" s="91">
        <v>30905</v>
      </c>
      <c r="L147" s="91">
        <v>26496</v>
      </c>
      <c r="M147" s="91">
        <v>25032</v>
      </c>
      <c r="N147" s="91">
        <v>33029</v>
      </c>
      <c r="O147" s="91">
        <v>5582</v>
      </c>
      <c r="P147" s="91">
        <v>854</v>
      </c>
      <c r="Q147" s="91">
        <v>0</v>
      </c>
      <c r="R147" s="91">
        <v>0</v>
      </c>
      <c r="S147" s="91">
        <v>-1470</v>
      </c>
      <c r="T147" s="91">
        <v>0</v>
      </c>
      <c r="U147" s="91">
        <v>0</v>
      </c>
      <c r="V147" s="202">
        <v>0</v>
      </c>
      <c r="W147" s="91">
        <v>-171</v>
      </c>
      <c r="X147" s="91">
        <v>0</v>
      </c>
      <c r="Y147" s="91">
        <v>1299</v>
      </c>
      <c r="Z147" s="91">
        <v>0</v>
      </c>
      <c r="AA147" s="91">
        <v>0</v>
      </c>
      <c r="AB147" s="91">
        <v>-171</v>
      </c>
      <c r="AC147" s="91">
        <v>-171</v>
      </c>
      <c r="AD147" s="91">
        <v>-171</v>
      </c>
      <c r="AE147" s="91">
        <v>-171</v>
      </c>
      <c r="AF147" s="91">
        <v>-171</v>
      </c>
      <c r="AG147" s="91">
        <v>-444</v>
      </c>
      <c r="AH147" s="84">
        <v>8.6</v>
      </c>
      <c r="AI147" s="97">
        <f t="shared" si="2"/>
        <v>4966</v>
      </c>
    </row>
    <row r="148" spans="1:35">
      <c r="A148" s="55" t="s">
        <v>313</v>
      </c>
      <c r="B148" s="91">
        <v>0</v>
      </c>
      <c r="C148" s="91">
        <v>0</v>
      </c>
      <c r="D148" s="91">
        <v>0</v>
      </c>
      <c r="E148" s="90">
        <v>0</v>
      </c>
      <c r="F148" s="91">
        <v>0</v>
      </c>
      <c r="G148" s="91">
        <v>0</v>
      </c>
      <c r="H148" s="91">
        <v>0</v>
      </c>
      <c r="I148" s="91">
        <v>0</v>
      </c>
      <c r="J148" s="91">
        <v>0</v>
      </c>
      <c r="K148" s="91">
        <v>0</v>
      </c>
      <c r="L148" s="91">
        <v>0</v>
      </c>
      <c r="M148" s="91">
        <v>0</v>
      </c>
      <c r="N148" s="91">
        <v>0</v>
      </c>
      <c r="O148" s="91">
        <v>0</v>
      </c>
      <c r="P148" s="91">
        <v>0</v>
      </c>
      <c r="Q148" s="91">
        <v>0</v>
      </c>
      <c r="R148" s="91">
        <v>0</v>
      </c>
      <c r="S148" s="91">
        <v>0</v>
      </c>
      <c r="T148" s="91">
        <v>0</v>
      </c>
      <c r="U148" s="91">
        <v>0</v>
      </c>
      <c r="V148" s="202">
        <v>0</v>
      </c>
      <c r="W148" s="91">
        <v>0</v>
      </c>
      <c r="X148" s="91">
        <v>0</v>
      </c>
      <c r="Y148" s="91">
        <v>0</v>
      </c>
      <c r="Z148" s="91">
        <v>0</v>
      </c>
      <c r="AA148" s="91">
        <v>0</v>
      </c>
      <c r="AB148" s="91">
        <v>0</v>
      </c>
      <c r="AC148" s="91">
        <v>0</v>
      </c>
      <c r="AD148" s="91">
        <v>0</v>
      </c>
      <c r="AE148" s="91">
        <v>0</v>
      </c>
      <c r="AF148" s="91">
        <v>0</v>
      </c>
      <c r="AG148" s="91">
        <v>0</v>
      </c>
      <c r="AH148" s="84">
        <v>1</v>
      </c>
      <c r="AI148" s="97">
        <f t="shared" si="2"/>
        <v>0</v>
      </c>
    </row>
    <row r="149" spans="1:35">
      <c r="A149" s="55" t="s">
        <v>314</v>
      </c>
      <c r="B149" s="91">
        <v>0</v>
      </c>
      <c r="C149" s="91">
        <v>0</v>
      </c>
      <c r="D149" s="91">
        <v>0</v>
      </c>
      <c r="E149" s="90">
        <v>0</v>
      </c>
      <c r="F149" s="91">
        <v>0</v>
      </c>
      <c r="G149" s="91">
        <v>0</v>
      </c>
      <c r="H149" s="91">
        <v>0</v>
      </c>
      <c r="I149" s="91">
        <v>0</v>
      </c>
      <c r="J149" s="91">
        <v>0</v>
      </c>
      <c r="K149" s="91">
        <v>0</v>
      </c>
      <c r="L149" s="91">
        <v>0</v>
      </c>
      <c r="M149" s="91">
        <v>0</v>
      </c>
      <c r="N149" s="91">
        <v>0</v>
      </c>
      <c r="O149" s="91">
        <v>0</v>
      </c>
      <c r="P149" s="91">
        <v>0</v>
      </c>
      <c r="Q149" s="91">
        <v>0</v>
      </c>
      <c r="R149" s="91">
        <v>0</v>
      </c>
      <c r="S149" s="91">
        <v>0</v>
      </c>
      <c r="T149" s="91">
        <v>0</v>
      </c>
      <c r="U149" s="91">
        <v>0</v>
      </c>
      <c r="V149" s="202">
        <v>0</v>
      </c>
      <c r="W149" s="91">
        <v>0</v>
      </c>
      <c r="X149" s="91">
        <v>0</v>
      </c>
      <c r="Y149" s="91">
        <v>0</v>
      </c>
      <c r="Z149" s="91">
        <v>0</v>
      </c>
      <c r="AA149" s="91">
        <v>0</v>
      </c>
      <c r="AB149" s="91">
        <v>0</v>
      </c>
      <c r="AC149" s="91">
        <v>0</v>
      </c>
      <c r="AD149" s="91">
        <v>0</v>
      </c>
      <c r="AE149" s="91">
        <v>0</v>
      </c>
      <c r="AF149" s="91">
        <v>0</v>
      </c>
      <c r="AG149" s="91">
        <v>0</v>
      </c>
      <c r="AH149" s="84">
        <v>1</v>
      </c>
      <c r="AI149" s="97">
        <f t="shared" si="2"/>
        <v>0</v>
      </c>
    </row>
    <row r="150" spans="1:35">
      <c r="A150" s="55" t="s">
        <v>315</v>
      </c>
      <c r="B150" s="91">
        <v>0</v>
      </c>
      <c r="C150" s="91">
        <v>0</v>
      </c>
      <c r="D150" s="91">
        <v>0</v>
      </c>
      <c r="E150" s="90">
        <v>0</v>
      </c>
      <c r="F150" s="91">
        <v>0</v>
      </c>
      <c r="G150" s="91">
        <v>0</v>
      </c>
      <c r="H150" s="91">
        <v>0</v>
      </c>
      <c r="I150" s="91">
        <v>0</v>
      </c>
      <c r="J150" s="91">
        <v>0</v>
      </c>
      <c r="K150" s="91">
        <v>0</v>
      </c>
      <c r="L150" s="91">
        <v>0</v>
      </c>
      <c r="M150" s="91">
        <v>0</v>
      </c>
      <c r="N150" s="91">
        <v>0</v>
      </c>
      <c r="O150" s="91">
        <v>0</v>
      </c>
      <c r="P150" s="91">
        <v>0</v>
      </c>
      <c r="Q150" s="91">
        <v>0</v>
      </c>
      <c r="R150" s="91">
        <v>0</v>
      </c>
      <c r="S150" s="91">
        <v>0</v>
      </c>
      <c r="T150" s="91">
        <v>0</v>
      </c>
      <c r="U150" s="91">
        <v>0</v>
      </c>
      <c r="V150" s="202">
        <v>0</v>
      </c>
      <c r="W150" s="91">
        <v>0</v>
      </c>
      <c r="X150" s="91">
        <v>0</v>
      </c>
      <c r="Y150" s="91">
        <v>0</v>
      </c>
      <c r="Z150" s="91">
        <v>0</v>
      </c>
      <c r="AA150" s="91">
        <v>0</v>
      </c>
      <c r="AB150" s="91">
        <v>0</v>
      </c>
      <c r="AC150" s="91">
        <v>0</v>
      </c>
      <c r="AD150" s="91">
        <v>0</v>
      </c>
      <c r="AE150" s="91">
        <v>0</v>
      </c>
      <c r="AF150" s="91">
        <v>0</v>
      </c>
      <c r="AG150" s="91">
        <v>0</v>
      </c>
      <c r="AH150" s="84">
        <v>1</v>
      </c>
      <c r="AI150" s="97">
        <f t="shared" si="2"/>
        <v>0</v>
      </c>
    </row>
    <row r="151" spans="1:35">
      <c r="A151" s="55" t="s">
        <v>316</v>
      </c>
      <c r="B151" s="91">
        <v>0</v>
      </c>
      <c r="C151" s="91">
        <v>0</v>
      </c>
      <c r="D151" s="91">
        <v>6</v>
      </c>
      <c r="E151" s="90">
        <v>6</v>
      </c>
      <c r="F151" s="91">
        <v>4104</v>
      </c>
      <c r="G151" s="91">
        <v>3503</v>
      </c>
      <c r="H151" s="91">
        <v>774</v>
      </c>
      <c r="I151" s="91">
        <v>0</v>
      </c>
      <c r="J151" s="91">
        <v>-173</v>
      </c>
      <c r="K151" s="91">
        <v>4438</v>
      </c>
      <c r="L151" s="91">
        <v>3793</v>
      </c>
      <c r="M151" s="91">
        <v>3596</v>
      </c>
      <c r="N151" s="91">
        <v>4698</v>
      </c>
      <c r="O151" s="91">
        <v>680</v>
      </c>
      <c r="P151" s="91">
        <v>122</v>
      </c>
      <c r="Q151" s="91">
        <v>0</v>
      </c>
      <c r="R151" s="91">
        <v>0</v>
      </c>
      <c r="S151" s="91">
        <v>-201</v>
      </c>
      <c r="T151" s="91">
        <v>0</v>
      </c>
      <c r="U151" s="91">
        <v>0</v>
      </c>
      <c r="V151" s="202">
        <v>0</v>
      </c>
      <c r="W151" s="91">
        <v>-28</v>
      </c>
      <c r="X151" s="91">
        <v>0</v>
      </c>
      <c r="Y151" s="91">
        <v>173</v>
      </c>
      <c r="Z151" s="91">
        <v>0</v>
      </c>
      <c r="AA151" s="91">
        <v>0</v>
      </c>
      <c r="AB151" s="91">
        <v>-28</v>
      </c>
      <c r="AC151" s="91">
        <v>-28</v>
      </c>
      <c r="AD151" s="91">
        <v>-28</v>
      </c>
      <c r="AE151" s="91">
        <v>-28</v>
      </c>
      <c r="AF151" s="91">
        <v>-28</v>
      </c>
      <c r="AG151" s="91">
        <v>-33</v>
      </c>
      <c r="AH151" s="84">
        <v>7.1</v>
      </c>
      <c r="AI151" s="97">
        <f t="shared" si="2"/>
        <v>601</v>
      </c>
    </row>
    <row r="152" spans="1:35">
      <c r="A152" s="55" t="s">
        <v>317</v>
      </c>
      <c r="B152" s="91">
        <v>0</v>
      </c>
      <c r="C152" s="91">
        <v>0</v>
      </c>
      <c r="D152" s="91">
        <v>4</v>
      </c>
      <c r="E152" s="90">
        <v>5</v>
      </c>
      <c r="F152" s="91">
        <v>5832</v>
      </c>
      <c r="G152" s="91">
        <v>4892</v>
      </c>
      <c r="H152" s="91">
        <v>1029</v>
      </c>
      <c r="I152" s="91">
        <v>213.08999999999997</v>
      </c>
      <c r="J152" s="91">
        <v>-89</v>
      </c>
      <c r="K152" s="91">
        <v>5993</v>
      </c>
      <c r="L152" s="91">
        <v>5705</v>
      </c>
      <c r="M152" s="91">
        <v>5537</v>
      </c>
      <c r="N152" s="91">
        <v>6227</v>
      </c>
      <c r="O152" s="91">
        <v>876</v>
      </c>
      <c r="P152" s="91">
        <v>168</v>
      </c>
      <c r="Q152" s="91">
        <v>0</v>
      </c>
      <c r="R152" s="91">
        <v>0</v>
      </c>
      <c r="S152" s="91">
        <v>-104</v>
      </c>
      <c r="T152" s="91">
        <v>0</v>
      </c>
      <c r="U152" s="91">
        <v>0</v>
      </c>
      <c r="V152" s="202">
        <v>0</v>
      </c>
      <c r="W152" s="91">
        <v>-15</v>
      </c>
      <c r="X152" s="91">
        <v>0</v>
      </c>
      <c r="Y152" s="91">
        <v>89</v>
      </c>
      <c r="Z152" s="91">
        <v>0</v>
      </c>
      <c r="AA152" s="91">
        <v>0</v>
      </c>
      <c r="AB152" s="91">
        <v>-15</v>
      </c>
      <c r="AC152" s="91">
        <v>-15</v>
      </c>
      <c r="AD152" s="91">
        <v>-15</v>
      </c>
      <c r="AE152" s="91">
        <v>-15</v>
      </c>
      <c r="AF152" s="91">
        <v>-15</v>
      </c>
      <c r="AG152" s="91">
        <v>-14</v>
      </c>
      <c r="AH152" s="84">
        <v>6.9</v>
      </c>
      <c r="AI152" s="97">
        <f t="shared" si="2"/>
        <v>940</v>
      </c>
    </row>
    <row r="153" spans="1:35" ht="22.5">
      <c r="A153" s="55" t="s">
        <v>318</v>
      </c>
      <c r="B153" s="91">
        <v>0</v>
      </c>
      <c r="C153" s="91">
        <v>0</v>
      </c>
      <c r="D153" s="91">
        <v>92</v>
      </c>
      <c r="E153" s="90">
        <v>94</v>
      </c>
      <c r="F153" s="91">
        <v>54629</v>
      </c>
      <c r="G153" s="91">
        <v>43437</v>
      </c>
      <c r="H153" s="91">
        <v>14301</v>
      </c>
      <c r="I153" s="91">
        <v>161.22000000000048</v>
      </c>
      <c r="J153" s="91">
        <v>-3109</v>
      </c>
      <c r="K153" s="91">
        <v>60114</v>
      </c>
      <c r="L153" s="91">
        <v>49621</v>
      </c>
      <c r="M153" s="91">
        <v>46439</v>
      </c>
      <c r="N153" s="91">
        <v>64814</v>
      </c>
      <c r="O153" s="91">
        <v>12995</v>
      </c>
      <c r="P153" s="91">
        <v>1648</v>
      </c>
      <c r="Q153" s="91">
        <v>0</v>
      </c>
      <c r="R153" s="91">
        <v>0</v>
      </c>
      <c r="S153" s="91">
        <v>-3451</v>
      </c>
      <c r="T153" s="91">
        <v>0</v>
      </c>
      <c r="U153" s="91">
        <v>0</v>
      </c>
      <c r="V153" s="202">
        <v>0</v>
      </c>
      <c r="W153" s="91">
        <v>-342</v>
      </c>
      <c r="X153" s="91">
        <v>0</v>
      </c>
      <c r="Y153" s="91">
        <v>3109</v>
      </c>
      <c r="Z153" s="91">
        <v>0</v>
      </c>
      <c r="AA153" s="91">
        <v>0</v>
      </c>
      <c r="AB153" s="91">
        <v>-342</v>
      </c>
      <c r="AC153" s="91">
        <v>-342</v>
      </c>
      <c r="AD153" s="91">
        <v>-342</v>
      </c>
      <c r="AE153" s="91">
        <v>-342</v>
      </c>
      <c r="AF153" s="91">
        <v>-342</v>
      </c>
      <c r="AG153" s="91">
        <v>-1399</v>
      </c>
      <c r="AH153" s="84">
        <v>10.1</v>
      </c>
      <c r="AI153" s="97">
        <f t="shared" si="2"/>
        <v>11192</v>
      </c>
    </row>
    <row r="154" spans="1:35">
      <c r="A154" s="55" t="s">
        <v>319</v>
      </c>
      <c r="B154" s="91">
        <v>0</v>
      </c>
      <c r="C154" s="91">
        <v>0</v>
      </c>
      <c r="D154" s="91">
        <v>25</v>
      </c>
      <c r="E154" s="90">
        <v>27</v>
      </c>
      <c r="F154" s="91">
        <v>55106</v>
      </c>
      <c r="G154" s="91">
        <v>53340</v>
      </c>
      <c r="H154" s="91">
        <v>4416</v>
      </c>
      <c r="I154" s="91">
        <v>166.22000000000003</v>
      </c>
      <c r="J154" s="91">
        <v>-2650</v>
      </c>
      <c r="K154" s="91">
        <v>59697</v>
      </c>
      <c r="L154" s="91">
        <v>50774</v>
      </c>
      <c r="M154" s="91">
        <v>48260</v>
      </c>
      <c r="N154" s="91">
        <v>63178</v>
      </c>
      <c r="O154" s="91">
        <v>3063</v>
      </c>
      <c r="P154" s="91">
        <v>1647</v>
      </c>
      <c r="Q154" s="91">
        <v>0</v>
      </c>
      <c r="R154" s="91">
        <v>0</v>
      </c>
      <c r="S154" s="91">
        <v>-2944</v>
      </c>
      <c r="T154" s="91">
        <v>0</v>
      </c>
      <c r="U154" s="91">
        <v>0</v>
      </c>
      <c r="V154" s="202">
        <v>0</v>
      </c>
      <c r="W154" s="91">
        <v>-294</v>
      </c>
      <c r="X154" s="91">
        <v>0</v>
      </c>
      <c r="Y154" s="91">
        <v>2650</v>
      </c>
      <c r="Z154" s="91">
        <v>0</v>
      </c>
      <c r="AA154" s="91">
        <v>0</v>
      </c>
      <c r="AB154" s="91">
        <v>-294</v>
      </c>
      <c r="AC154" s="91">
        <v>-294</v>
      </c>
      <c r="AD154" s="91">
        <v>-294</v>
      </c>
      <c r="AE154" s="91">
        <v>-294</v>
      </c>
      <c r="AF154" s="91">
        <v>-294</v>
      </c>
      <c r="AG154" s="91">
        <v>-1180</v>
      </c>
      <c r="AH154" s="84">
        <v>10</v>
      </c>
      <c r="AI154" s="97">
        <f t="shared" si="2"/>
        <v>1766</v>
      </c>
    </row>
    <row r="155" spans="1:35">
      <c r="A155" s="55" t="s">
        <v>320</v>
      </c>
      <c r="B155" s="91">
        <v>0</v>
      </c>
      <c r="C155" s="91">
        <v>0</v>
      </c>
      <c r="D155" s="91">
        <v>0</v>
      </c>
      <c r="E155" s="90">
        <v>0</v>
      </c>
      <c r="F155" s="91">
        <v>0</v>
      </c>
      <c r="G155" s="91">
        <v>0</v>
      </c>
      <c r="H155" s="91">
        <v>0</v>
      </c>
      <c r="I155" s="91">
        <v>0</v>
      </c>
      <c r="J155" s="91">
        <v>0</v>
      </c>
      <c r="K155" s="91">
        <v>0</v>
      </c>
      <c r="L155" s="91">
        <v>0</v>
      </c>
      <c r="M155" s="91">
        <v>0</v>
      </c>
      <c r="N155" s="91">
        <v>0</v>
      </c>
      <c r="O155" s="91">
        <v>0</v>
      </c>
      <c r="P155" s="91">
        <v>0</v>
      </c>
      <c r="Q155" s="91">
        <v>0</v>
      </c>
      <c r="R155" s="91">
        <v>0</v>
      </c>
      <c r="S155" s="91">
        <v>0</v>
      </c>
      <c r="T155" s="91">
        <v>0</v>
      </c>
      <c r="U155" s="91">
        <v>0</v>
      </c>
      <c r="V155" s="202">
        <v>0</v>
      </c>
      <c r="W155" s="91">
        <v>0</v>
      </c>
      <c r="X155" s="91">
        <v>0</v>
      </c>
      <c r="Y155" s="91">
        <v>0</v>
      </c>
      <c r="Z155" s="91">
        <v>0</v>
      </c>
      <c r="AA155" s="91">
        <v>0</v>
      </c>
      <c r="AB155" s="91">
        <v>0</v>
      </c>
      <c r="AC155" s="91">
        <v>0</v>
      </c>
      <c r="AD155" s="91">
        <v>0</v>
      </c>
      <c r="AE155" s="91">
        <v>0</v>
      </c>
      <c r="AF155" s="91">
        <v>0</v>
      </c>
      <c r="AG155" s="91">
        <v>0</v>
      </c>
      <c r="AH155" s="84">
        <v>1</v>
      </c>
      <c r="AI155" s="97">
        <f t="shared" si="2"/>
        <v>0</v>
      </c>
    </row>
    <row r="156" spans="1:35">
      <c r="A156" s="55" t="s">
        <v>321</v>
      </c>
      <c r="B156" s="91">
        <v>0</v>
      </c>
      <c r="C156" s="91">
        <v>0</v>
      </c>
      <c r="D156" s="91">
        <v>10</v>
      </c>
      <c r="E156" s="90">
        <v>10</v>
      </c>
      <c r="F156" s="91">
        <v>2357</v>
      </c>
      <c r="G156" s="91">
        <v>1241</v>
      </c>
      <c r="H156" s="91">
        <v>1347</v>
      </c>
      <c r="I156" s="91">
        <v>0</v>
      </c>
      <c r="J156" s="91">
        <v>-231</v>
      </c>
      <c r="K156" s="91">
        <v>2759</v>
      </c>
      <c r="L156" s="91">
        <v>1990</v>
      </c>
      <c r="M156" s="91">
        <v>1774</v>
      </c>
      <c r="N156" s="91">
        <v>3071</v>
      </c>
      <c r="O156" s="91">
        <v>1297</v>
      </c>
      <c r="P156" s="91">
        <v>74</v>
      </c>
      <c r="Q156" s="91">
        <v>0</v>
      </c>
      <c r="R156" s="91">
        <v>0</v>
      </c>
      <c r="S156" s="91">
        <v>-255</v>
      </c>
      <c r="T156" s="91">
        <v>0</v>
      </c>
      <c r="U156" s="91">
        <v>0</v>
      </c>
      <c r="V156" s="202">
        <v>0</v>
      </c>
      <c r="W156" s="91">
        <v>-24</v>
      </c>
      <c r="X156" s="91">
        <v>0</v>
      </c>
      <c r="Y156" s="91">
        <v>231</v>
      </c>
      <c r="Z156" s="91">
        <v>0</v>
      </c>
      <c r="AA156" s="91">
        <v>0</v>
      </c>
      <c r="AB156" s="91">
        <v>-24</v>
      </c>
      <c r="AC156" s="91">
        <v>-24</v>
      </c>
      <c r="AD156" s="91">
        <v>-24</v>
      </c>
      <c r="AE156" s="91">
        <v>-24</v>
      </c>
      <c r="AF156" s="91">
        <v>-24</v>
      </c>
      <c r="AG156" s="91">
        <v>-111</v>
      </c>
      <c r="AH156" s="84">
        <v>10.5</v>
      </c>
      <c r="AI156" s="97">
        <f t="shared" si="2"/>
        <v>1116</v>
      </c>
    </row>
    <row r="157" spans="1:35">
      <c r="A157" s="55" t="s">
        <v>322</v>
      </c>
      <c r="B157" s="91">
        <v>0</v>
      </c>
      <c r="C157" s="91">
        <v>0</v>
      </c>
      <c r="D157" s="91">
        <v>11</v>
      </c>
      <c r="E157" s="90">
        <v>16</v>
      </c>
      <c r="F157" s="91">
        <v>37323</v>
      </c>
      <c r="G157" s="91">
        <v>33640</v>
      </c>
      <c r="H157" s="91">
        <v>5015</v>
      </c>
      <c r="I157" s="91">
        <v>259.58000000000004</v>
      </c>
      <c r="J157" s="91">
        <v>-1332</v>
      </c>
      <c r="K157" s="91">
        <v>39681</v>
      </c>
      <c r="L157" s="91">
        <v>35102</v>
      </c>
      <c r="M157" s="91">
        <v>33438</v>
      </c>
      <c r="N157" s="91">
        <v>41903</v>
      </c>
      <c r="O157" s="91">
        <v>4067</v>
      </c>
      <c r="P157" s="91">
        <v>1101</v>
      </c>
      <c r="Q157" s="91">
        <v>0</v>
      </c>
      <c r="R157" s="91">
        <v>0</v>
      </c>
      <c r="S157" s="91">
        <v>-1485</v>
      </c>
      <c r="T157" s="91">
        <v>0</v>
      </c>
      <c r="U157" s="91">
        <v>0</v>
      </c>
      <c r="V157" s="202">
        <v>0</v>
      </c>
      <c r="W157" s="91">
        <v>-153</v>
      </c>
      <c r="X157" s="91">
        <v>0</v>
      </c>
      <c r="Y157" s="91">
        <v>1332</v>
      </c>
      <c r="Z157" s="91">
        <v>0</v>
      </c>
      <c r="AA157" s="91">
        <v>0</v>
      </c>
      <c r="AB157" s="91">
        <v>-153</v>
      </c>
      <c r="AC157" s="91">
        <v>-153</v>
      </c>
      <c r="AD157" s="91">
        <v>-153</v>
      </c>
      <c r="AE157" s="91">
        <v>-153</v>
      </c>
      <c r="AF157" s="91">
        <v>-153</v>
      </c>
      <c r="AG157" s="91">
        <v>-567</v>
      </c>
      <c r="AH157" s="84">
        <v>9.6999999999999993</v>
      </c>
      <c r="AI157" s="97">
        <f t="shared" si="2"/>
        <v>3683</v>
      </c>
    </row>
    <row r="158" spans="1:35">
      <c r="A158" s="55" t="s">
        <v>323</v>
      </c>
      <c r="B158" s="91">
        <v>0</v>
      </c>
      <c r="C158" s="91">
        <v>0</v>
      </c>
      <c r="D158" s="91">
        <v>0</v>
      </c>
      <c r="E158" s="90">
        <v>0</v>
      </c>
      <c r="F158" s="91">
        <v>0</v>
      </c>
      <c r="G158" s="91">
        <v>0</v>
      </c>
      <c r="H158" s="91">
        <v>0</v>
      </c>
      <c r="I158" s="91">
        <v>0</v>
      </c>
      <c r="J158" s="91">
        <v>0</v>
      </c>
      <c r="K158" s="91">
        <v>0</v>
      </c>
      <c r="L158" s="91">
        <v>0</v>
      </c>
      <c r="M158" s="91">
        <v>0</v>
      </c>
      <c r="N158" s="91">
        <v>0</v>
      </c>
      <c r="O158" s="91">
        <v>0</v>
      </c>
      <c r="P158" s="91">
        <v>0</v>
      </c>
      <c r="Q158" s="91">
        <v>0</v>
      </c>
      <c r="R158" s="91">
        <v>0</v>
      </c>
      <c r="S158" s="91">
        <v>0</v>
      </c>
      <c r="T158" s="91">
        <v>0</v>
      </c>
      <c r="U158" s="91">
        <v>0</v>
      </c>
      <c r="V158" s="202">
        <v>0</v>
      </c>
      <c r="W158" s="91">
        <v>0</v>
      </c>
      <c r="X158" s="91">
        <v>0</v>
      </c>
      <c r="Y158" s="91">
        <v>0</v>
      </c>
      <c r="Z158" s="91">
        <v>0</v>
      </c>
      <c r="AA158" s="91">
        <v>0</v>
      </c>
      <c r="AB158" s="91">
        <v>0</v>
      </c>
      <c r="AC158" s="91">
        <v>0</v>
      </c>
      <c r="AD158" s="91">
        <v>0</v>
      </c>
      <c r="AE158" s="91">
        <v>0</v>
      </c>
      <c r="AF158" s="91">
        <v>0</v>
      </c>
      <c r="AG158" s="91">
        <v>0</v>
      </c>
      <c r="AH158" s="84">
        <v>1</v>
      </c>
      <c r="AI158" s="97">
        <f t="shared" si="2"/>
        <v>0</v>
      </c>
    </row>
    <row r="159" spans="1:35">
      <c r="A159" s="55" t="s">
        <v>324</v>
      </c>
      <c r="B159" s="91">
        <v>0</v>
      </c>
      <c r="C159" s="91">
        <v>0</v>
      </c>
      <c r="D159" s="91">
        <v>61</v>
      </c>
      <c r="E159" s="90">
        <v>81</v>
      </c>
      <c r="F159" s="91">
        <v>102858</v>
      </c>
      <c r="G159" s="91">
        <v>95926</v>
      </c>
      <c r="H159" s="91">
        <v>11718</v>
      </c>
      <c r="I159" s="91">
        <v>380.24</v>
      </c>
      <c r="J159" s="91">
        <v>-4786</v>
      </c>
      <c r="K159" s="91">
        <v>111473</v>
      </c>
      <c r="L159" s="91">
        <v>94870</v>
      </c>
      <c r="M159" s="91">
        <v>90060</v>
      </c>
      <c r="N159" s="91">
        <v>118140</v>
      </c>
      <c r="O159" s="91">
        <v>9319</v>
      </c>
      <c r="P159" s="91">
        <v>3073</v>
      </c>
      <c r="Q159" s="91">
        <v>0</v>
      </c>
      <c r="R159" s="91">
        <v>0</v>
      </c>
      <c r="S159" s="91">
        <v>-5460</v>
      </c>
      <c r="T159" s="91">
        <v>0</v>
      </c>
      <c r="U159" s="91">
        <v>0</v>
      </c>
      <c r="V159" s="202">
        <v>0</v>
      </c>
      <c r="W159" s="91">
        <v>-674</v>
      </c>
      <c r="X159" s="91">
        <v>0</v>
      </c>
      <c r="Y159" s="91">
        <v>4786</v>
      </c>
      <c r="Z159" s="91">
        <v>0</v>
      </c>
      <c r="AA159" s="91">
        <v>0</v>
      </c>
      <c r="AB159" s="91">
        <v>-674</v>
      </c>
      <c r="AC159" s="91">
        <v>-674</v>
      </c>
      <c r="AD159" s="91">
        <v>-674</v>
      </c>
      <c r="AE159" s="91">
        <v>-674</v>
      </c>
      <c r="AF159" s="91">
        <v>-674</v>
      </c>
      <c r="AG159" s="91">
        <v>-1416</v>
      </c>
      <c r="AH159" s="84">
        <v>8.1</v>
      </c>
      <c r="AI159" s="97">
        <f t="shared" si="2"/>
        <v>6932</v>
      </c>
    </row>
    <row r="160" spans="1:35">
      <c r="A160" s="55" t="s">
        <v>325</v>
      </c>
      <c r="B160" s="91">
        <v>0</v>
      </c>
      <c r="C160" s="91">
        <v>0</v>
      </c>
      <c r="D160" s="91">
        <v>15</v>
      </c>
      <c r="E160" s="90">
        <v>17</v>
      </c>
      <c r="F160" s="91">
        <v>46415</v>
      </c>
      <c r="G160" s="91">
        <v>42342</v>
      </c>
      <c r="H160" s="91">
        <v>5580</v>
      </c>
      <c r="I160" s="91">
        <v>73.199999999999989</v>
      </c>
      <c r="J160" s="91">
        <v>-1507</v>
      </c>
      <c r="K160" s="91">
        <v>49045</v>
      </c>
      <c r="L160" s="91">
        <v>43776</v>
      </c>
      <c r="M160" s="91">
        <v>41659</v>
      </c>
      <c r="N160" s="91">
        <v>51759</v>
      </c>
      <c r="O160" s="91">
        <v>4403</v>
      </c>
      <c r="P160" s="91">
        <v>1365</v>
      </c>
      <c r="Q160" s="91">
        <v>0</v>
      </c>
      <c r="R160" s="91">
        <v>0</v>
      </c>
      <c r="S160" s="91">
        <v>-1695</v>
      </c>
      <c r="T160" s="91">
        <v>0</v>
      </c>
      <c r="U160" s="91">
        <v>0</v>
      </c>
      <c r="V160" s="202">
        <v>0</v>
      </c>
      <c r="W160" s="91">
        <v>-188</v>
      </c>
      <c r="X160" s="91">
        <v>0</v>
      </c>
      <c r="Y160" s="91">
        <v>1507</v>
      </c>
      <c r="Z160" s="91">
        <v>0</v>
      </c>
      <c r="AA160" s="91">
        <v>0</v>
      </c>
      <c r="AB160" s="91">
        <v>-188</v>
      </c>
      <c r="AC160" s="91">
        <v>-188</v>
      </c>
      <c r="AD160" s="91">
        <v>-188</v>
      </c>
      <c r="AE160" s="91">
        <v>-188</v>
      </c>
      <c r="AF160" s="91">
        <v>-188</v>
      </c>
      <c r="AG160" s="91">
        <v>-567</v>
      </c>
      <c r="AH160" s="84">
        <v>9</v>
      </c>
      <c r="AI160" s="97">
        <f t="shared" si="2"/>
        <v>4073</v>
      </c>
    </row>
    <row r="161" spans="1:35">
      <c r="A161" s="55" t="s">
        <v>326</v>
      </c>
      <c r="B161" s="91">
        <v>0</v>
      </c>
      <c r="C161" s="91">
        <v>0</v>
      </c>
      <c r="D161" s="91">
        <v>4</v>
      </c>
      <c r="E161" s="90">
        <v>7</v>
      </c>
      <c r="F161" s="91">
        <v>55071</v>
      </c>
      <c r="G161" s="91">
        <v>54188</v>
      </c>
      <c r="H161" s="91">
        <v>5095</v>
      </c>
      <c r="I161" s="91">
        <v>0</v>
      </c>
      <c r="J161" s="91">
        <v>-4212</v>
      </c>
      <c r="K161" s="91">
        <v>62232</v>
      </c>
      <c r="L161" s="91">
        <v>48497</v>
      </c>
      <c r="M161" s="91">
        <v>45101</v>
      </c>
      <c r="N161" s="91">
        <v>67451</v>
      </c>
      <c r="O161" s="91">
        <v>3736</v>
      </c>
      <c r="P161" s="91">
        <v>1691</v>
      </c>
      <c r="Q161" s="91">
        <v>0</v>
      </c>
      <c r="R161" s="91">
        <v>0</v>
      </c>
      <c r="S161" s="91">
        <v>-4544</v>
      </c>
      <c r="T161" s="91">
        <v>0</v>
      </c>
      <c r="U161" s="91">
        <v>0</v>
      </c>
      <c r="V161" s="202">
        <v>0</v>
      </c>
      <c r="W161" s="91">
        <v>-332</v>
      </c>
      <c r="X161" s="91">
        <v>0</v>
      </c>
      <c r="Y161" s="91">
        <v>4212</v>
      </c>
      <c r="Z161" s="91">
        <v>0</v>
      </c>
      <c r="AA161" s="91">
        <v>0</v>
      </c>
      <c r="AB161" s="91">
        <v>-332</v>
      </c>
      <c r="AC161" s="91">
        <v>-332</v>
      </c>
      <c r="AD161" s="91">
        <v>-332</v>
      </c>
      <c r="AE161" s="91">
        <v>-332</v>
      </c>
      <c r="AF161" s="91">
        <v>-332</v>
      </c>
      <c r="AG161" s="91">
        <v>-2552</v>
      </c>
      <c r="AH161" s="84">
        <v>13.7</v>
      </c>
      <c r="AI161" s="97">
        <f t="shared" si="2"/>
        <v>883</v>
      </c>
    </row>
    <row r="162" spans="1:35">
      <c r="A162" s="55" t="s">
        <v>327</v>
      </c>
      <c r="B162" s="91">
        <v>0</v>
      </c>
      <c r="C162" s="91">
        <v>0</v>
      </c>
      <c r="D162" s="91">
        <v>14</v>
      </c>
      <c r="E162" s="90">
        <v>15</v>
      </c>
      <c r="F162" s="91">
        <v>19153</v>
      </c>
      <c r="G162" s="91">
        <v>17204</v>
      </c>
      <c r="H162" s="91">
        <v>2511</v>
      </c>
      <c r="I162" s="91">
        <v>37.77000000000001</v>
      </c>
      <c r="J162" s="91">
        <v>-562</v>
      </c>
      <c r="K162" s="91">
        <v>20194</v>
      </c>
      <c r="L162" s="91">
        <v>18145</v>
      </c>
      <c r="M162" s="91">
        <v>17381</v>
      </c>
      <c r="N162" s="91">
        <v>21142</v>
      </c>
      <c r="O162" s="91">
        <v>2021</v>
      </c>
      <c r="P162" s="91">
        <v>561</v>
      </c>
      <c r="Q162" s="91">
        <v>0</v>
      </c>
      <c r="R162" s="91">
        <v>0</v>
      </c>
      <c r="S162" s="91">
        <v>-633</v>
      </c>
      <c r="T162" s="91">
        <v>0</v>
      </c>
      <c r="U162" s="91">
        <v>0</v>
      </c>
      <c r="V162" s="202">
        <v>0</v>
      </c>
      <c r="W162" s="91">
        <v>-71</v>
      </c>
      <c r="X162" s="91">
        <v>0</v>
      </c>
      <c r="Y162" s="91">
        <v>562</v>
      </c>
      <c r="Z162" s="91">
        <v>0</v>
      </c>
      <c r="AA162" s="91">
        <v>0</v>
      </c>
      <c r="AB162" s="91">
        <v>-71</v>
      </c>
      <c r="AC162" s="91">
        <v>-71</v>
      </c>
      <c r="AD162" s="91">
        <v>-71</v>
      </c>
      <c r="AE162" s="91">
        <v>-71</v>
      </c>
      <c r="AF162" s="91">
        <v>-71</v>
      </c>
      <c r="AG162" s="91">
        <v>-207</v>
      </c>
      <c r="AH162" s="84">
        <v>8.9</v>
      </c>
      <c r="AI162" s="97">
        <f t="shared" si="2"/>
        <v>1949</v>
      </c>
    </row>
    <row r="163" spans="1:35">
      <c r="A163" s="55" t="s">
        <v>328</v>
      </c>
      <c r="B163" s="91">
        <v>4</v>
      </c>
      <c r="C163" s="91">
        <v>0</v>
      </c>
      <c r="D163" s="91">
        <v>274</v>
      </c>
      <c r="E163" s="90">
        <v>297</v>
      </c>
      <c r="F163" s="91">
        <v>2563250</v>
      </c>
      <c r="G163" s="91">
        <v>2514087</v>
      </c>
      <c r="H163" s="91">
        <v>215625</v>
      </c>
      <c r="I163" s="91">
        <v>45041.919999999976</v>
      </c>
      <c r="J163" s="91">
        <v>-131670</v>
      </c>
      <c r="K163" s="91">
        <v>2794492</v>
      </c>
      <c r="L163" s="91">
        <v>2345085</v>
      </c>
      <c r="M163" s="91">
        <v>2227237</v>
      </c>
      <c r="N163" s="91">
        <v>2965810</v>
      </c>
      <c r="O163" s="91">
        <v>153210</v>
      </c>
      <c r="P163" s="91">
        <v>77377</v>
      </c>
      <c r="Q163" s="91">
        <v>0</v>
      </c>
      <c r="R163" s="91">
        <v>0</v>
      </c>
      <c r="S163" s="91">
        <v>-146632</v>
      </c>
      <c r="T163" s="91">
        <v>34792</v>
      </c>
      <c r="U163" s="91">
        <v>0</v>
      </c>
      <c r="V163" s="202">
        <v>0</v>
      </c>
      <c r="W163" s="91">
        <v>-14962</v>
      </c>
      <c r="X163" s="91">
        <v>0</v>
      </c>
      <c r="Y163" s="91">
        <v>131670</v>
      </c>
      <c r="Z163" s="91">
        <v>0</v>
      </c>
      <c r="AA163" s="91">
        <v>0</v>
      </c>
      <c r="AB163" s="91">
        <v>-14962</v>
      </c>
      <c r="AC163" s="91">
        <v>-14962</v>
      </c>
      <c r="AD163" s="91">
        <v>-14962</v>
      </c>
      <c r="AE163" s="91">
        <v>-14962</v>
      </c>
      <c r="AF163" s="91">
        <v>-14962</v>
      </c>
      <c r="AG163" s="91">
        <v>-56860</v>
      </c>
      <c r="AH163" s="84">
        <v>9.8000000000000007</v>
      </c>
      <c r="AI163" s="97">
        <f t="shared" si="2"/>
        <v>49163</v>
      </c>
    </row>
    <row r="164" spans="1:35">
      <c r="A164" s="55" t="s">
        <v>329</v>
      </c>
      <c r="B164" s="91">
        <v>0</v>
      </c>
      <c r="C164" s="91">
        <v>0</v>
      </c>
      <c r="D164" s="91">
        <v>0</v>
      </c>
      <c r="E164" s="90">
        <v>0</v>
      </c>
      <c r="F164" s="91">
        <v>0</v>
      </c>
      <c r="G164" s="91">
        <v>0</v>
      </c>
      <c r="H164" s="91">
        <v>0</v>
      </c>
      <c r="I164" s="91">
        <v>0</v>
      </c>
      <c r="J164" s="91">
        <v>0</v>
      </c>
      <c r="K164" s="91">
        <v>0</v>
      </c>
      <c r="L164" s="91">
        <v>0</v>
      </c>
      <c r="M164" s="91">
        <v>0</v>
      </c>
      <c r="N164" s="91">
        <v>0</v>
      </c>
      <c r="O164" s="91">
        <v>0</v>
      </c>
      <c r="P164" s="91">
        <v>0</v>
      </c>
      <c r="Q164" s="91">
        <v>0</v>
      </c>
      <c r="R164" s="91">
        <v>0</v>
      </c>
      <c r="S164" s="91">
        <v>0</v>
      </c>
      <c r="T164" s="91">
        <v>0</v>
      </c>
      <c r="U164" s="91">
        <v>0</v>
      </c>
      <c r="V164" s="202">
        <v>0</v>
      </c>
      <c r="W164" s="91">
        <v>0</v>
      </c>
      <c r="X164" s="91">
        <v>0</v>
      </c>
      <c r="Y164" s="91">
        <v>0</v>
      </c>
      <c r="Z164" s="91">
        <v>0</v>
      </c>
      <c r="AA164" s="91">
        <v>0</v>
      </c>
      <c r="AB164" s="91">
        <v>0</v>
      </c>
      <c r="AC164" s="91">
        <v>0</v>
      </c>
      <c r="AD164" s="91">
        <v>0</v>
      </c>
      <c r="AE164" s="91">
        <v>0</v>
      </c>
      <c r="AF164" s="91">
        <v>0</v>
      </c>
      <c r="AG164" s="91">
        <v>0</v>
      </c>
      <c r="AH164" s="84">
        <v>1</v>
      </c>
      <c r="AI164" s="97">
        <f t="shared" si="2"/>
        <v>0</v>
      </c>
    </row>
    <row r="165" spans="1:35">
      <c r="A165" s="55" t="s">
        <v>330</v>
      </c>
      <c r="B165" s="91">
        <v>0</v>
      </c>
      <c r="C165" s="91">
        <v>0</v>
      </c>
      <c r="D165" s="91">
        <v>13</v>
      </c>
      <c r="E165" s="90">
        <v>13</v>
      </c>
      <c r="F165" s="91">
        <v>59872</v>
      </c>
      <c r="G165" s="91">
        <v>58646</v>
      </c>
      <c r="H165" s="91">
        <v>4984</v>
      </c>
      <c r="I165" s="91">
        <v>271.97999999999979</v>
      </c>
      <c r="J165" s="91">
        <v>-3758</v>
      </c>
      <c r="K165" s="91">
        <v>66381</v>
      </c>
      <c r="L165" s="91">
        <v>53687</v>
      </c>
      <c r="M165" s="91">
        <v>50716</v>
      </c>
      <c r="N165" s="91">
        <v>70871</v>
      </c>
      <c r="O165" s="91">
        <v>3555</v>
      </c>
      <c r="P165" s="91">
        <v>1816</v>
      </c>
      <c r="Q165" s="91">
        <v>0</v>
      </c>
      <c r="R165" s="91">
        <v>0</v>
      </c>
      <c r="S165" s="91">
        <v>-4145</v>
      </c>
      <c r="T165" s="91">
        <v>0</v>
      </c>
      <c r="U165" s="91">
        <v>0</v>
      </c>
      <c r="V165" s="202">
        <v>0</v>
      </c>
      <c r="W165" s="91">
        <v>-387</v>
      </c>
      <c r="X165" s="91">
        <v>0</v>
      </c>
      <c r="Y165" s="91">
        <v>3758</v>
      </c>
      <c r="Z165" s="91">
        <v>0</v>
      </c>
      <c r="AA165" s="91">
        <v>0</v>
      </c>
      <c r="AB165" s="91">
        <v>-387</v>
      </c>
      <c r="AC165" s="91">
        <v>-387</v>
      </c>
      <c r="AD165" s="91">
        <v>-387</v>
      </c>
      <c r="AE165" s="91">
        <v>-387</v>
      </c>
      <c r="AF165" s="91">
        <v>-387</v>
      </c>
      <c r="AG165" s="91">
        <v>-1823</v>
      </c>
      <c r="AH165" s="84">
        <v>10.7</v>
      </c>
      <c r="AI165" s="97">
        <f t="shared" si="2"/>
        <v>1226</v>
      </c>
    </row>
    <row r="166" spans="1:35">
      <c r="A166" s="55" t="s">
        <v>331</v>
      </c>
      <c r="B166" s="91">
        <v>0</v>
      </c>
      <c r="C166" s="91">
        <v>0</v>
      </c>
      <c r="D166" s="91">
        <v>4</v>
      </c>
      <c r="E166" s="90">
        <v>5</v>
      </c>
      <c r="F166" s="91">
        <v>13265</v>
      </c>
      <c r="G166" s="91">
        <v>12047</v>
      </c>
      <c r="H166" s="91">
        <v>1627</v>
      </c>
      <c r="I166" s="91">
        <v>138.47000000000003</v>
      </c>
      <c r="J166" s="91">
        <v>-409</v>
      </c>
      <c r="K166" s="91">
        <v>14013</v>
      </c>
      <c r="L166" s="91">
        <v>12534</v>
      </c>
      <c r="M166" s="91">
        <v>11928</v>
      </c>
      <c r="N166" s="91">
        <v>14735</v>
      </c>
      <c r="O166" s="91">
        <v>1301</v>
      </c>
      <c r="P166" s="91">
        <v>390</v>
      </c>
      <c r="Q166" s="91">
        <v>0</v>
      </c>
      <c r="R166" s="91">
        <v>0</v>
      </c>
      <c r="S166" s="91">
        <v>-473</v>
      </c>
      <c r="T166" s="91">
        <v>0</v>
      </c>
      <c r="U166" s="91">
        <v>0</v>
      </c>
      <c r="V166" s="202">
        <v>0</v>
      </c>
      <c r="W166" s="91">
        <v>-64</v>
      </c>
      <c r="X166" s="91">
        <v>0</v>
      </c>
      <c r="Y166" s="91">
        <v>409</v>
      </c>
      <c r="Z166" s="91">
        <v>0</v>
      </c>
      <c r="AA166" s="91">
        <v>0</v>
      </c>
      <c r="AB166" s="91">
        <v>-64</v>
      </c>
      <c r="AC166" s="91">
        <v>-64</v>
      </c>
      <c r="AD166" s="91">
        <v>-64</v>
      </c>
      <c r="AE166" s="91">
        <v>-64</v>
      </c>
      <c r="AF166" s="91">
        <v>-64</v>
      </c>
      <c r="AG166" s="91">
        <v>-89</v>
      </c>
      <c r="AH166" s="84">
        <v>7.4</v>
      </c>
      <c r="AI166" s="97">
        <f t="shared" si="2"/>
        <v>1218</v>
      </c>
    </row>
    <row r="167" spans="1:35">
      <c r="A167" s="55" t="s">
        <v>332</v>
      </c>
      <c r="B167" s="91">
        <v>1</v>
      </c>
      <c r="C167" s="91">
        <v>0</v>
      </c>
      <c r="D167" s="91">
        <v>34</v>
      </c>
      <c r="E167" s="90">
        <v>34</v>
      </c>
      <c r="F167" s="91">
        <v>229278</v>
      </c>
      <c r="G167" s="91">
        <v>231711</v>
      </c>
      <c r="H167" s="91">
        <v>20557</v>
      </c>
      <c r="I167" s="91">
        <v>14495.1</v>
      </c>
      <c r="J167" s="91">
        <v>-10643</v>
      </c>
      <c r="K167" s="91">
        <v>248091</v>
      </c>
      <c r="L167" s="91">
        <v>211870</v>
      </c>
      <c r="M167" s="91">
        <v>202808</v>
      </c>
      <c r="N167" s="91">
        <v>261318</v>
      </c>
      <c r="O167" s="91">
        <v>14699</v>
      </c>
      <c r="P167" s="91">
        <v>7015</v>
      </c>
      <c r="Q167" s="91">
        <v>0</v>
      </c>
      <c r="R167" s="91">
        <v>0</v>
      </c>
      <c r="S167" s="91">
        <v>-11800</v>
      </c>
      <c r="T167" s="91">
        <v>12347</v>
      </c>
      <c r="U167" s="91">
        <v>0</v>
      </c>
      <c r="V167" s="202">
        <v>0</v>
      </c>
      <c r="W167" s="91">
        <v>-1157</v>
      </c>
      <c r="X167" s="91">
        <v>0</v>
      </c>
      <c r="Y167" s="91">
        <v>10643</v>
      </c>
      <c r="Z167" s="91">
        <v>0</v>
      </c>
      <c r="AA167" s="91">
        <v>0</v>
      </c>
      <c r="AB167" s="91">
        <v>-1157</v>
      </c>
      <c r="AC167" s="91">
        <v>-1157</v>
      </c>
      <c r="AD167" s="91">
        <v>-1157</v>
      </c>
      <c r="AE167" s="91">
        <v>-1157</v>
      </c>
      <c r="AF167" s="91">
        <v>-1157</v>
      </c>
      <c r="AG167" s="91">
        <v>-4858</v>
      </c>
      <c r="AH167" s="84">
        <v>10.199999999999999</v>
      </c>
      <c r="AI167" s="97">
        <f t="shared" si="2"/>
        <v>-2433</v>
      </c>
    </row>
    <row r="168" spans="1:35">
      <c r="A168" s="55" t="s">
        <v>333</v>
      </c>
      <c r="B168" s="91">
        <v>0</v>
      </c>
      <c r="C168" s="91">
        <v>0</v>
      </c>
      <c r="D168" s="91">
        <v>74</v>
      </c>
      <c r="E168" s="90">
        <v>80</v>
      </c>
      <c r="F168" s="91">
        <v>81723</v>
      </c>
      <c r="G168" s="91">
        <v>71673</v>
      </c>
      <c r="H168" s="91">
        <v>13909</v>
      </c>
      <c r="I168" s="91">
        <v>1190.2600000000011</v>
      </c>
      <c r="J168" s="91">
        <v>-3859</v>
      </c>
      <c r="K168" s="91">
        <v>88355</v>
      </c>
      <c r="L168" s="91">
        <v>75411</v>
      </c>
      <c r="M168" s="91">
        <v>71247</v>
      </c>
      <c r="N168" s="91">
        <v>94434</v>
      </c>
      <c r="O168" s="91">
        <v>11893</v>
      </c>
      <c r="P168" s="91">
        <v>2440</v>
      </c>
      <c r="Q168" s="91">
        <v>0</v>
      </c>
      <c r="R168" s="91">
        <v>0</v>
      </c>
      <c r="S168" s="91">
        <v>-4283</v>
      </c>
      <c r="T168" s="91">
        <v>0</v>
      </c>
      <c r="U168" s="91">
        <v>0</v>
      </c>
      <c r="V168" s="202">
        <v>0</v>
      </c>
      <c r="W168" s="91">
        <v>-424</v>
      </c>
      <c r="X168" s="91">
        <v>0</v>
      </c>
      <c r="Y168" s="91">
        <v>3859</v>
      </c>
      <c r="Z168" s="91">
        <v>0</v>
      </c>
      <c r="AA168" s="91">
        <v>0</v>
      </c>
      <c r="AB168" s="91">
        <v>-424</v>
      </c>
      <c r="AC168" s="91">
        <v>-424</v>
      </c>
      <c r="AD168" s="91">
        <v>-424</v>
      </c>
      <c r="AE168" s="91">
        <v>-424</v>
      </c>
      <c r="AF168" s="91">
        <v>-424</v>
      </c>
      <c r="AG168" s="91">
        <v>-1739</v>
      </c>
      <c r="AH168" s="84">
        <v>10.1</v>
      </c>
      <c r="AI168" s="97">
        <f t="shared" si="2"/>
        <v>10050</v>
      </c>
    </row>
    <row r="169" spans="1:35" ht="22.5">
      <c r="A169" s="55" t="s">
        <v>334</v>
      </c>
      <c r="B169" s="91">
        <v>0</v>
      </c>
      <c r="C169" s="91">
        <v>0</v>
      </c>
      <c r="D169" s="91">
        <v>12</v>
      </c>
      <c r="E169" s="90">
        <v>13</v>
      </c>
      <c r="F169" s="91">
        <v>41337</v>
      </c>
      <c r="G169" s="91">
        <v>39228</v>
      </c>
      <c r="H169" s="91">
        <v>4181</v>
      </c>
      <c r="I169" s="91">
        <v>157.64999999999992</v>
      </c>
      <c r="J169" s="91">
        <v>-2072</v>
      </c>
      <c r="K169" s="91">
        <v>45028</v>
      </c>
      <c r="L169" s="91">
        <v>37788</v>
      </c>
      <c r="M169" s="91">
        <v>35821</v>
      </c>
      <c r="N169" s="91">
        <v>47804</v>
      </c>
      <c r="O169" s="91">
        <v>3189</v>
      </c>
      <c r="P169" s="91">
        <v>1239</v>
      </c>
      <c r="Q169" s="91">
        <v>0</v>
      </c>
      <c r="R169" s="91">
        <v>0</v>
      </c>
      <c r="S169" s="91">
        <v>-2319</v>
      </c>
      <c r="T169" s="91">
        <v>0</v>
      </c>
      <c r="U169" s="91">
        <v>0</v>
      </c>
      <c r="V169" s="202">
        <v>0</v>
      </c>
      <c r="W169" s="91">
        <v>-247</v>
      </c>
      <c r="X169" s="91">
        <v>0</v>
      </c>
      <c r="Y169" s="91">
        <v>2072</v>
      </c>
      <c r="Z169" s="91">
        <v>0</v>
      </c>
      <c r="AA169" s="91">
        <v>0</v>
      </c>
      <c r="AB169" s="91">
        <v>-247</v>
      </c>
      <c r="AC169" s="91">
        <v>-247</v>
      </c>
      <c r="AD169" s="91">
        <v>-247</v>
      </c>
      <c r="AE169" s="91">
        <v>-247</v>
      </c>
      <c r="AF169" s="91">
        <v>-247</v>
      </c>
      <c r="AG169" s="91">
        <v>-837</v>
      </c>
      <c r="AH169" s="84">
        <v>9.4</v>
      </c>
      <c r="AI169" s="97">
        <f t="shared" si="2"/>
        <v>2109</v>
      </c>
    </row>
    <row r="170" spans="1:35">
      <c r="A170" s="55" t="s">
        <v>335</v>
      </c>
      <c r="B170" s="91">
        <v>0</v>
      </c>
      <c r="C170" s="91">
        <v>0</v>
      </c>
      <c r="D170" s="91">
        <v>84</v>
      </c>
      <c r="E170" s="90">
        <v>89</v>
      </c>
      <c r="F170" s="91">
        <v>154954</v>
      </c>
      <c r="G170" s="91">
        <v>140727</v>
      </c>
      <c r="H170" s="91">
        <v>21027</v>
      </c>
      <c r="I170" s="91">
        <v>1926.8999999999978</v>
      </c>
      <c r="J170" s="91">
        <v>-6800</v>
      </c>
      <c r="K170" s="91">
        <v>167017</v>
      </c>
      <c r="L170" s="91">
        <v>143843</v>
      </c>
      <c r="M170" s="91">
        <v>136756</v>
      </c>
      <c r="N170" s="91">
        <v>177056</v>
      </c>
      <c r="O170" s="91">
        <v>17206</v>
      </c>
      <c r="P170" s="91">
        <v>4612</v>
      </c>
      <c r="Q170" s="91">
        <v>0</v>
      </c>
      <c r="R170" s="91">
        <v>0</v>
      </c>
      <c r="S170" s="91">
        <v>-7591</v>
      </c>
      <c r="T170" s="91">
        <v>0</v>
      </c>
      <c r="U170" s="91">
        <v>0</v>
      </c>
      <c r="V170" s="202">
        <v>0</v>
      </c>
      <c r="W170" s="91">
        <v>-791</v>
      </c>
      <c r="X170" s="91">
        <v>0</v>
      </c>
      <c r="Y170" s="91">
        <v>6800</v>
      </c>
      <c r="Z170" s="91">
        <v>0</v>
      </c>
      <c r="AA170" s="91">
        <v>0</v>
      </c>
      <c r="AB170" s="91">
        <v>-791</v>
      </c>
      <c r="AC170" s="91">
        <v>-791</v>
      </c>
      <c r="AD170" s="91">
        <v>-791</v>
      </c>
      <c r="AE170" s="91">
        <v>-791</v>
      </c>
      <c r="AF170" s="91">
        <v>-791</v>
      </c>
      <c r="AG170" s="91">
        <v>-2845</v>
      </c>
      <c r="AH170" s="84">
        <v>9.6</v>
      </c>
      <c r="AI170" s="97">
        <f t="shared" si="2"/>
        <v>14227</v>
      </c>
    </row>
    <row r="171" spans="1:35">
      <c r="A171" s="55" t="s">
        <v>336</v>
      </c>
      <c r="B171" s="91">
        <v>0</v>
      </c>
      <c r="C171" s="91">
        <v>0</v>
      </c>
      <c r="D171" s="91">
        <v>7</v>
      </c>
      <c r="E171" s="90">
        <v>7</v>
      </c>
      <c r="F171" s="91">
        <v>18077</v>
      </c>
      <c r="G171" s="91">
        <v>18014</v>
      </c>
      <c r="H171" s="91">
        <v>2077</v>
      </c>
      <c r="I171" s="91">
        <v>0</v>
      </c>
      <c r="J171" s="91">
        <v>-2014</v>
      </c>
      <c r="K171" s="91">
        <v>21503</v>
      </c>
      <c r="L171" s="91">
        <v>15075</v>
      </c>
      <c r="M171" s="91">
        <v>13943</v>
      </c>
      <c r="N171" s="91">
        <v>23447</v>
      </c>
      <c r="O171" s="91">
        <v>1680</v>
      </c>
      <c r="P171" s="91">
        <v>575</v>
      </c>
      <c r="Q171" s="91">
        <v>0</v>
      </c>
      <c r="R171" s="91">
        <v>0</v>
      </c>
      <c r="S171" s="91">
        <v>-2192</v>
      </c>
      <c r="T171" s="91">
        <v>0</v>
      </c>
      <c r="U171" s="91">
        <v>0</v>
      </c>
      <c r="V171" s="202">
        <v>0</v>
      </c>
      <c r="W171" s="91">
        <v>-178</v>
      </c>
      <c r="X171" s="91">
        <v>0</v>
      </c>
      <c r="Y171" s="91">
        <v>2014</v>
      </c>
      <c r="Z171" s="91">
        <v>0</v>
      </c>
      <c r="AA171" s="91">
        <v>0</v>
      </c>
      <c r="AB171" s="91">
        <v>-178</v>
      </c>
      <c r="AC171" s="91">
        <v>-178</v>
      </c>
      <c r="AD171" s="91">
        <v>-178</v>
      </c>
      <c r="AE171" s="91">
        <v>-178</v>
      </c>
      <c r="AF171" s="91">
        <v>-178</v>
      </c>
      <c r="AG171" s="91">
        <v>-1124</v>
      </c>
      <c r="AH171" s="84">
        <v>12.3</v>
      </c>
      <c r="AI171" s="97">
        <f t="shared" si="2"/>
        <v>63</v>
      </c>
    </row>
    <row r="172" spans="1:35">
      <c r="A172" s="55" t="s">
        <v>337</v>
      </c>
      <c r="B172" s="91">
        <v>0</v>
      </c>
      <c r="C172" s="91">
        <v>0</v>
      </c>
      <c r="D172" s="91">
        <v>5</v>
      </c>
      <c r="E172" s="90">
        <v>5</v>
      </c>
      <c r="F172" s="91">
        <v>9035</v>
      </c>
      <c r="G172" s="91">
        <v>8487</v>
      </c>
      <c r="H172" s="91">
        <v>1360</v>
      </c>
      <c r="I172" s="91">
        <v>0</v>
      </c>
      <c r="J172" s="91">
        <v>-812</v>
      </c>
      <c r="K172" s="91">
        <v>10373</v>
      </c>
      <c r="L172" s="91">
        <v>7815</v>
      </c>
      <c r="M172" s="91">
        <v>7206</v>
      </c>
      <c r="N172" s="91">
        <v>11393</v>
      </c>
      <c r="O172" s="91">
        <v>1145</v>
      </c>
      <c r="P172" s="91">
        <v>281</v>
      </c>
      <c r="Q172" s="91">
        <v>0</v>
      </c>
      <c r="R172" s="91">
        <v>0</v>
      </c>
      <c r="S172" s="91">
        <v>-878</v>
      </c>
      <c r="T172" s="91">
        <v>0</v>
      </c>
      <c r="U172" s="91">
        <v>0</v>
      </c>
      <c r="V172" s="202">
        <v>0</v>
      </c>
      <c r="W172" s="91">
        <v>-66</v>
      </c>
      <c r="X172" s="91">
        <v>0</v>
      </c>
      <c r="Y172" s="91">
        <v>812</v>
      </c>
      <c r="Z172" s="91">
        <v>0</v>
      </c>
      <c r="AA172" s="91">
        <v>0</v>
      </c>
      <c r="AB172" s="91">
        <v>-66</v>
      </c>
      <c r="AC172" s="91">
        <v>-66</v>
      </c>
      <c r="AD172" s="91">
        <v>-66</v>
      </c>
      <c r="AE172" s="91">
        <v>-66</v>
      </c>
      <c r="AF172" s="91">
        <v>-66</v>
      </c>
      <c r="AG172" s="91">
        <v>-482</v>
      </c>
      <c r="AH172" s="84">
        <v>13.3</v>
      </c>
      <c r="AI172" s="97">
        <f t="shared" si="2"/>
        <v>548</v>
      </c>
    </row>
    <row r="173" spans="1:35">
      <c r="A173" s="55" t="s">
        <v>338</v>
      </c>
      <c r="B173" s="91">
        <v>0</v>
      </c>
      <c r="C173" s="91">
        <v>0</v>
      </c>
      <c r="D173" s="91">
        <v>0</v>
      </c>
      <c r="E173" s="90">
        <v>0</v>
      </c>
      <c r="F173" s="91">
        <v>0</v>
      </c>
      <c r="G173" s="91">
        <v>0</v>
      </c>
      <c r="H173" s="91">
        <v>0</v>
      </c>
      <c r="I173" s="91">
        <v>0</v>
      </c>
      <c r="J173" s="91">
        <v>0</v>
      </c>
      <c r="K173" s="91">
        <v>0</v>
      </c>
      <c r="L173" s="91">
        <v>0</v>
      </c>
      <c r="M173" s="91">
        <v>0</v>
      </c>
      <c r="N173" s="91">
        <v>0</v>
      </c>
      <c r="O173" s="91">
        <v>0</v>
      </c>
      <c r="P173" s="91">
        <v>0</v>
      </c>
      <c r="Q173" s="91">
        <v>0</v>
      </c>
      <c r="R173" s="91">
        <v>0</v>
      </c>
      <c r="S173" s="91">
        <v>0</v>
      </c>
      <c r="T173" s="91">
        <v>0</v>
      </c>
      <c r="U173" s="91">
        <v>0</v>
      </c>
      <c r="V173" s="202">
        <v>0</v>
      </c>
      <c r="W173" s="91">
        <v>0</v>
      </c>
      <c r="X173" s="91">
        <v>0</v>
      </c>
      <c r="Y173" s="91">
        <v>0</v>
      </c>
      <c r="Z173" s="91">
        <v>0</v>
      </c>
      <c r="AA173" s="91">
        <v>0</v>
      </c>
      <c r="AB173" s="91">
        <v>0</v>
      </c>
      <c r="AC173" s="91">
        <v>0</v>
      </c>
      <c r="AD173" s="91">
        <v>0</v>
      </c>
      <c r="AE173" s="91">
        <v>0</v>
      </c>
      <c r="AF173" s="91">
        <v>0</v>
      </c>
      <c r="AG173" s="91">
        <v>0</v>
      </c>
      <c r="AH173" s="84">
        <v>1</v>
      </c>
      <c r="AI173" s="97">
        <f t="shared" si="2"/>
        <v>0</v>
      </c>
    </row>
    <row r="174" spans="1:35">
      <c r="A174" s="55" t="s">
        <v>339</v>
      </c>
      <c r="B174" s="91">
        <v>0</v>
      </c>
      <c r="C174" s="91">
        <v>0</v>
      </c>
      <c r="D174" s="91">
        <v>4</v>
      </c>
      <c r="E174" s="90">
        <v>5</v>
      </c>
      <c r="F174" s="91">
        <v>2092</v>
      </c>
      <c r="G174" s="91">
        <v>1681</v>
      </c>
      <c r="H174" s="91">
        <v>550</v>
      </c>
      <c r="I174" s="91">
        <v>0</v>
      </c>
      <c r="J174" s="91">
        <v>-139</v>
      </c>
      <c r="K174" s="91">
        <v>2343</v>
      </c>
      <c r="L174" s="91">
        <v>1841</v>
      </c>
      <c r="M174" s="91">
        <v>1695</v>
      </c>
      <c r="N174" s="91">
        <v>2590</v>
      </c>
      <c r="O174" s="91">
        <v>500</v>
      </c>
      <c r="P174" s="91">
        <v>64</v>
      </c>
      <c r="Q174" s="91">
        <v>0</v>
      </c>
      <c r="R174" s="91">
        <v>0</v>
      </c>
      <c r="S174" s="91">
        <v>-153</v>
      </c>
      <c r="T174" s="91">
        <v>0</v>
      </c>
      <c r="U174" s="91">
        <v>0</v>
      </c>
      <c r="V174" s="202">
        <v>0</v>
      </c>
      <c r="W174" s="91">
        <v>-14</v>
      </c>
      <c r="X174" s="91">
        <v>0</v>
      </c>
      <c r="Y174" s="91">
        <v>139</v>
      </c>
      <c r="Z174" s="91">
        <v>0</v>
      </c>
      <c r="AA174" s="91">
        <v>0</v>
      </c>
      <c r="AB174" s="91">
        <v>-14</v>
      </c>
      <c r="AC174" s="91">
        <v>-14</v>
      </c>
      <c r="AD174" s="91">
        <v>-14</v>
      </c>
      <c r="AE174" s="91">
        <v>-14</v>
      </c>
      <c r="AF174" s="91">
        <v>-14</v>
      </c>
      <c r="AG174" s="91">
        <v>-69</v>
      </c>
      <c r="AH174" s="84">
        <v>11.1</v>
      </c>
      <c r="AI174" s="97">
        <f t="shared" si="2"/>
        <v>411</v>
      </c>
    </row>
    <row r="175" spans="1:35">
      <c r="A175" s="55" t="s">
        <v>340</v>
      </c>
      <c r="B175" s="91">
        <v>0</v>
      </c>
      <c r="C175" s="91">
        <v>0</v>
      </c>
      <c r="D175" s="91">
        <v>4</v>
      </c>
      <c r="E175" s="90">
        <v>6</v>
      </c>
      <c r="F175" s="91">
        <v>778</v>
      </c>
      <c r="G175" s="91">
        <v>567</v>
      </c>
      <c r="H175" s="91">
        <v>263</v>
      </c>
      <c r="I175" s="91">
        <v>0</v>
      </c>
      <c r="J175" s="91">
        <v>-52</v>
      </c>
      <c r="K175" s="91">
        <v>848</v>
      </c>
      <c r="L175" s="91">
        <v>734</v>
      </c>
      <c r="M175" s="91">
        <v>660</v>
      </c>
      <c r="N175" s="91">
        <v>915</v>
      </c>
      <c r="O175" s="91">
        <v>244</v>
      </c>
      <c r="P175" s="91">
        <v>24</v>
      </c>
      <c r="Q175" s="91">
        <v>0</v>
      </c>
      <c r="R175" s="91">
        <v>0</v>
      </c>
      <c r="S175" s="91">
        <v>-57</v>
      </c>
      <c r="T175" s="91">
        <v>0</v>
      </c>
      <c r="U175" s="91">
        <v>0</v>
      </c>
      <c r="V175" s="202">
        <v>0</v>
      </c>
      <c r="W175" s="91">
        <v>-5</v>
      </c>
      <c r="X175" s="91">
        <v>0</v>
      </c>
      <c r="Y175" s="91">
        <v>52</v>
      </c>
      <c r="Z175" s="91">
        <v>0</v>
      </c>
      <c r="AA175" s="91">
        <v>0</v>
      </c>
      <c r="AB175" s="91">
        <v>-5</v>
      </c>
      <c r="AC175" s="91">
        <v>-5</v>
      </c>
      <c r="AD175" s="91">
        <v>-5</v>
      </c>
      <c r="AE175" s="91">
        <v>-5</v>
      </c>
      <c r="AF175" s="91">
        <v>-5</v>
      </c>
      <c r="AG175" s="91">
        <v>-27</v>
      </c>
      <c r="AH175" s="84">
        <v>12</v>
      </c>
      <c r="AI175" s="97">
        <f t="shared" si="2"/>
        <v>211</v>
      </c>
    </row>
    <row r="176" spans="1:35">
      <c r="A176" s="55" t="s">
        <v>341</v>
      </c>
      <c r="B176" s="91">
        <v>0</v>
      </c>
      <c r="C176" s="91">
        <v>0</v>
      </c>
      <c r="D176" s="91">
        <v>0</v>
      </c>
      <c r="E176" s="90">
        <v>0</v>
      </c>
      <c r="F176" s="91">
        <v>0</v>
      </c>
      <c r="G176" s="91">
        <v>0</v>
      </c>
      <c r="H176" s="91">
        <v>0</v>
      </c>
      <c r="I176" s="91">
        <v>0</v>
      </c>
      <c r="J176" s="91">
        <v>0</v>
      </c>
      <c r="K176" s="91">
        <v>0</v>
      </c>
      <c r="L176" s="91">
        <v>0</v>
      </c>
      <c r="M176" s="91">
        <v>0</v>
      </c>
      <c r="N176" s="91">
        <v>0</v>
      </c>
      <c r="O176" s="91">
        <v>0</v>
      </c>
      <c r="P176" s="91">
        <v>0</v>
      </c>
      <c r="Q176" s="91">
        <v>0</v>
      </c>
      <c r="R176" s="91">
        <v>0</v>
      </c>
      <c r="S176" s="91">
        <v>0</v>
      </c>
      <c r="T176" s="91">
        <v>0</v>
      </c>
      <c r="U176" s="91">
        <v>0</v>
      </c>
      <c r="V176" s="202">
        <v>0</v>
      </c>
      <c r="W176" s="91">
        <v>0</v>
      </c>
      <c r="X176" s="91">
        <v>0</v>
      </c>
      <c r="Y176" s="91">
        <v>0</v>
      </c>
      <c r="Z176" s="91">
        <v>0</v>
      </c>
      <c r="AA176" s="91">
        <v>0</v>
      </c>
      <c r="AB176" s="91">
        <v>0</v>
      </c>
      <c r="AC176" s="91">
        <v>0</v>
      </c>
      <c r="AD176" s="91">
        <v>0</v>
      </c>
      <c r="AE176" s="91">
        <v>0</v>
      </c>
      <c r="AF176" s="91">
        <v>0</v>
      </c>
      <c r="AG176" s="91">
        <v>0</v>
      </c>
      <c r="AH176" s="84">
        <v>1</v>
      </c>
      <c r="AI176" s="97">
        <f t="shared" si="2"/>
        <v>0</v>
      </c>
    </row>
    <row r="177" spans="1:35">
      <c r="A177" s="55" t="s">
        <v>342</v>
      </c>
      <c r="B177" s="91">
        <v>0</v>
      </c>
      <c r="C177" s="91">
        <v>0</v>
      </c>
      <c r="D177" s="91">
        <v>11</v>
      </c>
      <c r="E177" s="90">
        <v>11</v>
      </c>
      <c r="F177" s="91">
        <v>14464</v>
      </c>
      <c r="G177" s="91">
        <v>11864</v>
      </c>
      <c r="H177" s="91">
        <v>3419</v>
      </c>
      <c r="I177" s="91">
        <v>337.92999999999972</v>
      </c>
      <c r="J177" s="91">
        <v>-819</v>
      </c>
      <c r="K177" s="91">
        <v>15966</v>
      </c>
      <c r="L177" s="91">
        <v>13055</v>
      </c>
      <c r="M177" s="91">
        <v>12459</v>
      </c>
      <c r="N177" s="91">
        <v>16881</v>
      </c>
      <c r="O177" s="91">
        <v>3101</v>
      </c>
      <c r="P177" s="91">
        <v>437</v>
      </c>
      <c r="Q177" s="91">
        <v>0</v>
      </c>
      <c r="R177" s="91">
        <v>0</v>
      </c>
      <c r="S177" s="91">
        <v>-938</v>
      </c>
      <c r="T177" s="91">
        <v>0</v>
      </c>
      <c r="U177" s="91">
        <v>0</v>
      </c>
      <c r="V177" s="202">
        <v>0</v>
      </c>
      <c r="W177" s="91">
        <v>-119</v>
      </c>
      <c r="X177" s="91">
        <v>0</v>
      </c>
      <c r="Y177" s="91">
        <v>819</v>
      </c>
      <c r="Z177" s="91">
        <v>0</v>
      </c>
      <c r="AA177" s="91">
        <v>0</v>
      </c>
      <c r="AB177" s="91">
        <v>-119</v>
      </c>
      <c r="AC177" s="91">
        <v>-119</v>
      </c>
      <c r="AD177" s="91">
        <v>-119</v>
      </c>
      <c r="AE177" s="91">
        <v>-119</v>
      </c>
      <c r="AF177" s="91">
        <v>-119</v>
      </c>
      <c r="AG177" s="91">
        <v>-224</v>
      </c>
      <c r="AH177" s="84">
        <v>7.9</v>
      </c>
      <c r="AI177" s="97">
        <f t="shared" si="2"/>
        <v>2600</v>
      </c>
    </row>
    <row r="178" spans="1:35">
      <c r="A178" s="55" t="s">
        <v>343</v>
      </c>
      <c r="B178" s="91">
        <v>0</v>
      </c>
      <c r="C178" s="91">
        <v>0</v>
      </c>
      <c r="D178" s="91">
        <v>14</v>
      </c>
      <c r="E178" s="90">
        <v>15</v>
      </c>
      <c r="F178" s="91">
        <v>23800</v>
      </c>
      <c r="G178" s="91">
        <v>20914</v>
      </c>
      <c r="H178" s="91">
        <v>3609</v>
      </c>
      <c r="I178" s="91">
        <v>24.509999999999991</v>
      </c>
      <c r="J178" s="91">
        <v>-723</v>
      </c>
      <c r="K178" s="91">
        <v>25121</v>
      </c>
      <c r="L178" s="91">
        <v>22503</v>
      </c>
      <c r="M178" s="91">
        <v>21565</v>
      </c>
      <c r="N178" s="91">
        <v>26300</v>
      </c>
      <c r="O178" s="91">
        <v>3023</v>
      </c>
      <c r="P178" s="91">
        <v>699</v>
      </c>
      <c r="Q178" s="91">
        <v>0</v>
      </c>
      <c r="R178" s="91">
        <v>0</v>
      </c>
      <c r="S178" s="91">
        <v>-836</v>
      </c>
      <c r="T178" s="91">
        <v>0</v>
      </c>
      <c r="U178" s="91">
        <v>0</v>
      </c>
      <c r="V178" s="202">
        <v>0</v>
      </c>
      <c r="W178" s="91">
        <v>-113</v>
      </c>
      <c r="X178" s="91">
        <v>0</v>
      </c>
      <c r="Y178" s="91">
        <v>723</v>
      </c>
      <c r="Z178" s="91">
        <v>0</v>
      </c>
      <c r="AA178" s="91">
        <v>0</v>
      </c>
      <c r="AB178" s="91">
        <v>-113</v>
      </c>
      <c r="AC178" s="91">
        <v>-113</v>
      </c>
      <c r="AD178" s="91">
        <v>-113</v>
      </c>
      <c r="AE178" s="91">
        <v>-113</v>
      </c>
      <c r="AF178" s="91">
        <v>-113</v>
      </c>
      <c r="AG178" s="91">
        <v>-158</v>
      </c>
      <c r="AH178" s="84">
        <v>7.4</v>
      </c>
      <c r="AI178" s="97">
        <f t="shared" si="2"/>
        <v>2886</v>
      </c>
    </row>
    <row r="179" spans="1:35" ht="22.5">
      <c r="A179" s="55" t="s">
        <v>344</v>
      </c>
      <c r="B179" s="91">
        <v>0</v>
      </c>
      <c r="C179" s="91">
        <v>0</v>
      </c>
      <c r="D179" s="91">
        <v>3</v>
      </c>
      <c r="E179" s="90">
        <v>3</v>
      </c>
      <c r="F179" s="91">
        <v>1867</v>
      </c>
      <c r="G179" s="91">
        <v>1003</v>
      </c>
      <c r="H179" s="91">
        <v>873</v>
      </c>
      <c r="I179" s="91">
        <v>146.41999999999999</v>
      </c>
      <c r="J179" s="91">
        <v>-9</v>
      </c>
      <c r="K179" s="91">
        <v>1935</v>
      </c>
      <c r="L179" s="91">
        <v>1754</v>
      </c>
      <c r="M179" s="91">
        <v>1621</v>
      </c>
      <c r="N179" s="91">
        <v>2134</v>
      </c>
      <c r="O179" s="91">
        <v>821</v>
      </c>
      <c r="P179" s="91">
        <v>53</v>
      </c>
      <c r="Q179" s="91">
        <v>0</v>
      </c>
      <c r="R179" s="91">
        <v>0</v>
      </c>
      <c r="S179" s="91">
        <v>-10</v>
      </c>
      <c r="T179" s="91">
        <v>0</v>
      </c>
      <c r="U179" s="91">
        <v>0</v>
      </c>
      <c r="V179" s="202">
        <v>0</v>
      </c>
      <c r="W179" s="91">
        <v>-1</v>
      </c>
      <c r="X179" s="91">
        <v>0</v>
      </c>
      <c r="Y179" s="91">
        <v>9</v>
      </c>
      <c r="Z179" s="91">
        <v>0</v>
      </c>
      <c r="AA179" s="91">
        <v>0</v>
      </c>
      <c r="AB179" s="91">
        <v>-1</v>
      </c>
      <c r="AC179" s="91">
        <v>-1</v>
      </c>
      <c r="AD179" s="91">
        <v>-1</v>
      </c>
      <c r="AE179" s="91">
        <v>-1</v>
      </c>
      <c r="AF179" s="91">
        <v>-1</v>
      </c>
      <c r="AG179" s="91">
        <v>-4</v>
      </c>
      <c r="AH179" s="84">
        <v>7.8</v>
      </c>
      <c r="AI179" s="97">
        <f t="shared" si="2"/>
        <v>864</v>
      </c>
    </row>
    <row r="180" spans="1:35">
      <c r="A180" s="55" t="s">
        <v>345</v>
      </c>
      <c r="B180" s="91">
        <v>0</v>
      </c>
      <c r="C180" s="91">
        <v>0</v>
      </c>
      <c r="D180" s="91">
        <v>8</v>
      </c>
      <c r="E180" s="90">
        <v>8</v>
      </c>
      <c r="F180" s="91">
        <v>7241</v>
      </c>
      <c r="G180" s="91">
        <v>5192</v>
      </c>
      <c r="H180" s="91">
        <v>2389</v>
      </c>
      <c r="I180" s="91">
        <v>0</v>
      </c>
      <c r="J180" s="91">
        <v>-340</v>
      </c>
      <c r="K180" s="91">
        <v>7837</v>
      </c>
      <c r="L180" s="91">
        <v>6657</v>
      </c>
      <c r="M180" s="91">
        <v>6310</v>
      </c>
      <c r="N180" s="91">
        <v>8318</v>
      </c>
      <c r="O180" s="91">
        <v>2205</v>
      </c>
      <c r="P180" s="91">
        <v>216</v>
      </c>
      <c r="Q180" s="91">
        <v>0</v>
      </c>
      <c r="R180" s="91">
        <v>0</v>
      </c>
      <c r="S180" s="91">
        <v>-372</v>
      </c>
      <c r="T180" s="91">
        <v>0</v>
      </c>
      <c r="U180" s="91">
        <v>0</v>
      </c>
      <c r="V180" s="202">
        <v>0</v>
      </c>
      <c r="W180" s="91">
        <v>-32</v>
      </c>
      <c r="X180" s="91">
        <v>0</v>
      </c>
      <c r="Y180" s="91">
        <v>340</v>
      </c>
      <c r="Z180" s="91">
        <v>0</v>
      </c>
      <c r="AA180" s="91">
        <v>0</v>
      </c>
      <c r="AB180" s="91">
        <v>-32</v>
      </c>
      <c r="AC180" s="91">
        <v>-32</v>
      </c>
      <c r="AD180" s="91">
        <v>-32</v>
      </c>
      <c r="AE180" s="91">
        <v>-32</v>
      </c>
      <c r="AF180" s="91">
        <v>-32</v>
      </c>
      <c r="AG180" s="91">
        <v>-180</v>
      </c>
      <c r="AH180" s="84">
        <v>11.8</v>
      </c>
      <c r="AI180" s="97">
        <f t="shared" si="2"/>
        <v>2049</v>
      </c>
    </row>
    <row r="181" spans="1:35">
      <c r="A181" s="55" t="s">
        <v>346</v>
      </c>
      <c r="B181" s="91">
        <v>0</v>
      </c>
      <c r="C181" s="91">
        <v>0</v>
      </c>
      <c r="D181" s="91">
        <v>1</v>
      </c>
      <c r="E181" s="90">
        <v>1</v>
      </c>
      <c r="F181" s="91">
        <v>3992</v>
      </c>
      <c r="G181" s="91">
        <v>3896</v>
      </c>
      <c r="H181" s="91">
        <v>296</v>
      </c>
      <c r="I181" s="91">
        <v>0</v>
      </c>
      <c r="J181" s="91">
        <v>-200</v>
      </c>
      <c r="K181" s="91">
        <v>4344</v>
      </c>
      <c r="L181" s="91">
        <v>3636</v>
      </c>
      <c r="M181" s="91">
        <v>3447</v>
      </c>
      <c r="N181" s="91">
        <v>4624</v>
      </c>
      <c r="O181" s="91">
        <v>195</v>
      </c>
      <c r="P181" s="91">
        <v>119</v>
      </c>
      <c r="Q181" s="91">
        <v>0</v>
      </c>
      <c r="R181" s="91">
        <v>0</v>
      </c>
      <c r="S181" s="91">
        <v>-218</v>
      </c>
      <c r="T181" s="91">
        <v>0</v>
      </c>
      <c r="U181" s="91">
        <v>0</v>
      </c>
      <c r="V181" s="202">
        <v>0</v>
      </c>
      <c r="W181" s="91">
        <v>-18</v>
      </c>
      <c r="X181" s="91">
        <v>0</v>
      </c>
      <c r="Y181" s="91">
        <v>200</v>
      </c>
      <c r="Z181" s="91">
        <v>0</v>
      </c>
      <c r="AA181" s="91">
        <v>0</v>
      </c>
      <c r="AB181" s="91">
        <v>-18</v>
      </c>
      <c r="AC181" s="91">
        <v>-18</v>
      </c>
      <c r="AD181" s="91">
        <v>-18</v>
      </c>
      <c r="AE181" s="91">
        <v>-18</v>
      </c>
      <c r="AF181" s="91">
        <v>-18</v>
      </c>
      <c r="AG181" s="91">
        <v>-110</v>
      </c>
      <c r="AH181" s="84">
        <v>11.8</v>
      </c>
      <c r="AI181" s="97">
        <f t="shared" si="2"/>
        <v>96</v>
      </c>
    </row>
    <row r="182" spans="1:35">
      <c r="A182" s="55" t="s">
        <v>347</v>
      </c>
      <c r="B182" s="91">
        <v>0</v>
      </c>
      <c r="C182" s="91">
        <v>0</v>
      </c>
      <c r="D182" s="91">
        <v>13</v>
      </c>
      <c r="E182" s="90">
        <v>15</v>
      </c>
      <c r="F182" s="91">
        <v>27565</v>
      </c>
      <c r="G182" s="91">
        <v>24507</v>
      </c>
      <c r="H182" s="91">
        <v>3630</v>
      </c>
      <c r="I182" s="91">
        <v>374.41000000000031</v>
      </c>
      <c r="J182" s="91">
        <v>-572</v>
      </c>
      <c r="K182" s="91">
        <v>28562</v>
      </c>
      <c r="L182" s="91">
        <v>26522</v>
      </c>
      <c r="M182" s="91">
        <v>25428</v>
      </c>
      <c r="N182" s="91">
        <v>29897</v>
      </c>
      <c r="O182" s="91">
        <v>2911</v>
      </c>
      <c r="P182" s="91">
        <v>801</v>
      </c>
      <c r="Q182" s="91">
        <v>0</v>
      </c>
      <c r="R182" s="91">
        <v>0</v>
      </c>
      <c r="S182" s="91">
        <v>-654</v>
      </c>
      <c r="T182" s="91">
        <v>0</v>
      </c>
      <c r="U182" s="91">
        <v>0</v>
      </c>
      <c r="V182" s="202">
        <v>0</v>
      </c>
      <c r="W182" s="91">
        <v>-82</v>
      </c>
      <c r="X182" s="91">
        <v>0</v>
      </c>
      <c r="Y182" s="91">
        <v>572</v>
      </c>
      <c r="Z182" s="91">
        <v>0</v>
      </c>
      <c r="AA182" s="91">
        <v>0</v>
      </c>
      <c r="AB182" s="91">
        <v>-82</v>
      </c>
      <c r="AC182" s="91">
        <v>-82</v>
      </c>
      <c r="AD182" s="91">
        <v>-82</v>
      </c>
      <c r="AE182" s="91">
        <v>-82</v>
      </c>
      <c r="AF182" s="91">
        <v>-82</v>
      </c>
      <c r="AG182" s="91">
        <v>-162</v>
      </c>
      <c r="AH182" s="84">
        <v>8</v>
      </c>
      <c r="AI182" s="97">
        <f t="shared" si="2"/>
        <v>3058</v>
      </c>
    </row>
    <row r="183" spans="1:35">
      <c r="A183" s="55" t="s">
        <v>348</v>
      </c>
      <c r="B183" s="91">
        <v>0</v>
      </c>
      <c r="C183" s="91">
        <v>0</v>
      </c>
      <c r="D183" s="91">
        <v>0</v>
      </c>
      <c r="E183" s="90">
        <v>0</v>
      </c>
      <c r="F183" s="91">
        <v>0</v>
      </c>
      <c r="G183" s="91">
        <v>0</v>
      </c>
      <c r="H183" s="91">
        <v>0</v>
      </c>
      <c r="I183" s="91">
        <v>0</v>
      </c>
      <c r="J183" s="91">
        <v>0</v>
      </c>
      <c r="K183" s="91">
        <v>0</v>
      </c>
      <c r="L183" s="91">
        <v>0</v>
      </c>
      <c r="M183" s="91">
        <v>0</v>
      </c>
      <c r="N183" s="91">
        <v>0</v>
      </c>
      <c r="O183" s="91">
        <v>0</v>
      </c>
      <c r="P183" s="91">
        <v>0</v>
      </c>
      <c r="Q183" s="91">
        <v>0</v>
      </c>
      <c r="R183" s="91">
        <v>0</v>
      </c>
      <c r="S183" s="91">
        <v>0</v>
      </c>
      <c r="T183" s="91">
        <v>0</v>
      </c>
      <c r="U183" s="91">
        <v>0</v>
      </c>
      <c r="V183" s="202">
        <v>0</v>
      </c>
      <c r="W183" s="91">
        <v>0</v>
      </c>
      <c r="X183" s="91">
        <v>0</v>
      </c>
      <c r="Y183" s="91">
        <v>0</v>
      </c>
      <c r="Z183" s="91">
        <v>0</v>
      </c>
      <c r="AA183" s="91">
        <v>0</v>
      </c>
      <c r="AB183" s="91">
        <v>0</v>
      </c>
      <c r="AC183" s="91">
        <v>0</v>
      </c>
      <c r="AD183" s="91">
        <v>0</v>
      </c>
      <c r="AE183" s="91">
        <v>0</v>
      </c>
      <c r="AF183" s="91">
        <v>0</v>
      </c>
      <c r="AG183" s="91">
        <v>0</v>
      </c>
      <c r="AH183" s="84">
        <v>1</v>
      </c>
      <c r="AI183" s="97">
        <f t="shared" si="2"/>
        <v>0</v>
      </c>
    </row>
    <row r="184" spans="1:35">
      <c r="A184" s="55" t="s">
        <v>349</v>
      </c>
      <c r="B184" s="91">
        <v>0</v>
      </c>
      <c r="C184" s="91">
        <v>0</v>
      </c>
      <c r="D184" s="91">
        <v>99</v>
      </c>
      <c r="E184" s="90">
        <v>108</v>
      </c>
      <c r="F184" s="91">
        <v>48388</v>
      </c>
      <c r="G184" s="91">
        <v>40244</v>
      </c>
      <c r="H184" s="91">
        <v>10591</v>
      </c>
      <c r="I184" s="91">
        <v>469.47999999999945</v>
      </c>
      <c r="J184" s="91">
        <v>-2447</v>
      </c>
      <c r="K184" s="91">
        <v>52608</v>
      </c>
      <c r="L184" s="91">
        <v>44463</v>
      </c>
      <c r="M184" s="91">
        <v>42019</v>
      </c>
      <c r="N184" s="91">
        <v>56065</v>
      </c>
      <c r="O184" s="91">
        <v>9429</v>
      </c>
      <c r="P184" s="91">
        <v>1450</v>
      </c>
      <c r="Q184" s="91">
        <v>0</v>
      </c>
      <c r="R184" s="91">
        <v>0</v>
      </c>
      <c r="S184" s="91">
        <v>-2735</v>
      </c>
      <c r="T184" s="91">
        <v>0</v>
      </c>
      <c r="U184" s="91">
        <v>0</v>
      </c>
      <c r="V184" s="202">
        <v>0</v>
      </c>
      <c r="W184" s="91">
        <v>-288</v>
      </c>
      <c r="X184" s="91">
        <v>0</v>
      </c>
      <c r="Y184" s="91">
        <v>2447</v>
      </c>
      <c r="Z184" s="91">
        <v>0</v>
      </c>
      <c r="AA184" s="91">
        <v>0</v>
      </c>
      <c r="AB184" s="91">
        <v>-288</v>
      </c>
      <c r="AC184" s="91">
        <v>-288</v>
      </c>
      <c r="AD184" s="91">
        <v>-288</v>
      </c>
      <c r="AE184" s="91">
        <v>-288</v>
      </c>
      <c r="AF184" s="91">
        <v>-288</v>
      </c>
      <c r="AG184" s="91">
        <v>-1007</v>
      </c>
      <c r="AH184" s="84">
        <v>9.5</v>
      </c>
      <c r="AI184" s="97">
        <f t="shared" si="2"/>
        <v>8144</v>
      </c>
    </row>
    <row r="185" spans="1:35">
      <c r="A185" s="55" t="s">
        <v>350</v>
      </c>
      <c r="B185" s="91">
        <v>2</v>
      </c>
      <c r="C185" s="91">
        <v>0</v>
      </c>
      <c r="D185" s="91">
        <v>21</v>
      </c>
      <c r="E185" s="90">
        <v>21</v>
      </c>
      <c r="F185" s="91">
        <v>488348</v>
      </c>
      <c r="G185" s="91">
        <v>487604</v>
      </c>
      <c r="H185" s="91">
        <v>32572</v>
      </c>
      <c r="I185" s="91">
        <v>20057.669999999998</v>
      </c>
      <c r="J185" s="91">
        <v>-16994</v>
      </c>
      <c r="K185" s="91">
        <v>519298</v>
      </c>
      <c r="L185" s="91">
        <v>458844</v>
      </c>
      <c r="M185" s="91">
        <v>445861</v>
      </c>
      <c r="N185" s="91">
        <v>536932</v>
      </c>
      <c r="O185" s="91">
        <v>20645</v>
      </c>
      <c r="P185" s="91">
        <v>14624</v>
      </c>
      <c r="Q185" s="91">
        <v>0</v>
      </c>
      <c r="R185" s="91">
        <v>0</v>
      </c>
      <c r="S185" s="91">
        <v>-19691</v>
      </c>
      <c r="T185" s="91">
        <v>14834</v>
      </c>
      <c r="U185" s="91">
        <v>0</v>
      </c>
      <c r="V185" s="202">
        <v>0</v>
      </c>
      <c r="W185" s="91">
        <v>-2697</v>
      </c>
      <c r="X185" s="91">
        <v>0</v>
      </c>
      <c r="Y185" s="91">
        <v>16994</v>
      </c>
      <c r="Z185" s="91">
        <v>0</v>
      </c>
      <c r="AA185" s="91">
        <v>0</v>
      </c>
      <c r="AB185" s="91">
        <v>-2697</v>
      </c>
      <c r="AC185" s="91">
        <v>-2697</v>
      </c>
      <c r="AD185" s="91">
        <v>-2697</v>
      </c>
      <c r="AE185" s="91">
        <v>-2697</v>
      </c>
      <c r="AF185" s="91">
        <v>-2697</v>
      </c>
      <c r="AG185" s="91">
        <v>-3509</v>
      </c>
      <c r="AH185" s="84">
        <v>7.3</v>
      </c>
      <c r="AI185" s="97">
        <f t="shared" si="2"/>
        <v>744</v>
      </c>
    </row>
    <row r="186" spans="1:35">
      <c r="A186" s="55" t="s">
        <v>351</v>
      </c>
      <c r="B186" s="91">
        <v>0</v>
      </c>
      <c r="C186" s="91">
        <v>0</v>
      </c>
      <c r="D186" s="91">
        <v>0</v>
      </c>
      <c r="E186" s="90">
        <v>0</v>
      </c>
      <c r="F186" s="91">
        <v>0</v>
      </c>
      <c r="G186" s="91">
        <v>0</v>
      </c>
      <c r="H186" s="91">
        <v>0</v>
      </c>
      <c r="I186" s="91">
        <v>0</v>
      </c>
      <c r="J186" s="91">
        <v>0</v>
      </c>
      <c r="K186" s="91">
        <v>0</v>
      </c>
      <c r="L186" s="91">
        <v>0</v>
      </c>
      <c r="M186" s="91">
        <v>0</v>
      </c>
      <c r="N186" s="91">
        <v>0</v>
      </c>
      <c r="O186" s="91">
        <v>0</v>
      </c>
      <c r="P186" s="91">
        <v>0</v>
      </c>
      <c r="Q186" s="91">
        <v>0</v>
      </c>
      <c r="R186" s="91">
        <v>0</v>
      </c>
      <c r="S186" s="91">
        <v>0</v>
      </c>
      <c r="T186" s="91">
        <v>0</v>
      </c>
      <c r="U186" s="91">
        <v>0</v>
      </c>
      <c r="V186" s="202">
        <v>0</v>
      </c>
      <c r="W186" s="91">
        <v>0</v>
      </c>
      <c r="X186" s="91">
        <v>0</v>
      </c>
      <c r="Y186" s="91">
        <v>0</v>
      </c>
      <c r="Z186" s="91">
        <v>0</v>
      </c>
      <c r="AA186" s="91">
        <v>0</v>
      </c>
      <c r="AB186" s="91">
        <v>0</v>
      </c>
      <c r="AC186" s="91">
        <v>0</v>
      </c>
      <c r="AD186" s="91">
        <v>0</v>
      </c>
      <c r="AE186" s="91">
        <v>0</v>
      </c>
      <c r="AF186" s="91">
        <v>0</v>
      </c>
      <c r="AG186" s="91">
        <v>0</v>
      </c>
      <c r="AH186" s="84">
        <v>1</v>
      </c>
      <c r="AI186" s="97">
        <f t="shared" si="2"/>
        <v>0</v>
      </c>
    </row>
    <row r="187" spans="1:35">
      <c r="A187" s="55" t="s">
        <v>352</v>
      </c>
      <c r="B187" s="91">
        <v>0</v>
      </c>
      <c r="C187" s="91">
        <v>0</v>
      </c>
      <c r="D187" s="91">
        <v>2</v>
      </c>
      <c r="E187" s="90">
        <v>2</v>
      </c>
      <c r="F187" s="91">
        <v>2246</v>
      </c>
      <c r="G187" s="91">
        <v>1836</v>
      </c>
      <c r="H187" s="91">
        <v>493</v>
      </c>
      <c r="I187" s="91">
        <v>0</v>
      </c>
      <c r="J187" s="91">
        <v>-83</v>
      </c>
      <c r="K187" s="91">
        <v>2402</v>
      </c>
      <c r="L187" s="91">
        <v>2102</v>
      </c>
      <c r="M187" s="91">
        <v>1992</v>
      </c>
      <c r="N187" s="91">
        <v>2538</v>
      </c>
      <c r="O187" s="91">
        <v>437</v>
      </c>
      <c r="P187" s="91">
        <v>66</v>
      </c>
      <c r="Q187" s="91">
        <v>0</v>
      </c>
      <c r="R187" s="91">
        <v>0</v>
      </c>
      <c r="S187" s="91">
        <v>-93</v>
      </c>
      <c r="T187" s="91">
        <v>0</v>
      </c>
      <c r="U187" s="91">
        <v>0</v>
      </c>
      <c r="V187" s="202">
        <v>0</v>
      </c>
      <c r="W187" s="91">
        <v>-10</v>
      </c>
      <c r="X187" s="91">
        <v>0</v>
      </c>
      <c r="Y187" s="91">
        <v>83</v>
      </c>
      <c r="Z187" s="91">
        <v>0</v>
      </c>
      <c r="AA187" s="91">
        <v>0</v>
      </c>
      <c r="AB187" s="91">
        <v>-10</v>
      </c>
      <c r="AC187" s="91">
        <v>-10</v>
      </c>
      <c r="AD187" s="91">
        <v>-10</v>
      </c>
      <c r="AE187" s="91">
        <v>-10</v>
      </c>
      <c r="AF187" s="91">
        <v>-10</v>
      </c>
      <c r="AG187" s="91">
        <v>-33</v>
      </c>
      <c r="AH187" s="84">
        <v>9.6</v>
      </c>
      <c r="AI187" s="97">
        <f t="shared" si="2"/>
        <v>410</v>
      </c>
    </row>
    <row r="188" spans="1:35">
      <c r="A188" s="55" t="s">
        <v>353</v>
      </c>
      <c r="B188" s="91">
        <v>0</v>
      </c>
      <c r="C188" s="91">
        <v>0</v>
      </c>
      <c r="D188" s="91">
        <v>10</v>
      </c>
      <c r="E188" s="90">
        <v>12</v>
      </c>
      <c r="F188" s="91">
        <v>27023</v>
      </c>
      <c r="G188" s="91">
        <v>25057</v>
      </c>
      <c r="H188" s="91">
        <v>3342</v>
      </c>
      <c r="I188" s="91">
        <v>44.709999999999923</v>
      </c>
      <c r="J188" s="91">
        <v>-1376</v>
      </c>
      <c r="K188" s="91">
        <v>29407</v>
      </c>
      <c r="L188" s="91">
        <v>24787</v>
      </c>
      <c r="M188" s="91">
        <v>23165</v>
      </c>
      <c r="N188" s="91">
        <v>31674</v>
      </c>
      <c r="O188" s="91">
        <v>2649</v>
      </c>
      <c r="P188" s="91">
        <v>809</v>
      </c>
      <c r="Q188" s="91">
        <v>0</v>
      </c>
      <c r="R188" s="91">
        <v>0</v>
      </c>
      <c r="S188" s="91">
        <v>-1492</v>
      </c>
      <c r="T188" s="91">
        <v>0</v>
      </c>
      <c r="U188" s="91">
        <v>0</v>
      </c>
      <c r="V188" s="202">
        <v>0</v>
      </c>
      <c r="W188" s="91">
        <v>-116</v>
      </c>
      <c r="X188" s="91">
        <v>0</v>
      </c>
      <c r="Y188" s="91">
        <v>1376</v>
      </c>
      <c r="Z188" s="91">
        <v>0</v>
      </c>
      <c r="AA188" s="91">
        <v>0</v>
      </c>
      <c r="AB188" s="91">
        <v>-116</v>
      </c>
      <c r="AC188" s="91">
        <v>-116</v>
      </c>
      <c r="AD188" s="91">
        <v>-116</v>
      </c>
      <c r="AE188" s="91">
        <v>-116</v>
      </c>
      <c r="AF188" s="91">
        <v>-116</v>
      </c>
      <c r="AG188" s="91">
        <v>-796</v>
      </c>
      <c r="AH188" s="84">
        <v>12.9</v>
      </c>
      <c r="AI188" s="97">
        <f t="shared" si="2"/>
        <v>1966</v>
      </c>
    </row>
    <row r="189" spans="1:35">
      <c r="A189" s="55" t="s">
        <v>354</v>
      </c>
      <c r="B189" s="91">
        <v>0</v>
      </c>
      <c r="C189" s="91">
        <v>0</v>
      </c>
      <c r="D189" s="91">
        <v>5</v>
      </c>
      <c r="E189" s="90">
        <v>7</v>
      </c>
      <c r="F189" s="91">
        <v>14190</v>
      </c>
      <c r="G189" s="91">
        <v>12964</v>
      </c>
      <c r="H189" s="91">
        <v>1595</v>
      </c>
      <c r="I189" s="91">
        <v>208.53999999999996</v>
      </c>
      <c r="J189" s="91">
        <v>-369</v>
      </c>
      <c r="K189" s="91">
        <v>14846</v>
      </c>
      <c r="L189" s="91">
        <v>13523</v>
      </c>
      <c r="M189" s="91">
        <v>12921</v>
      </c>
      <c r="N189" s="91">
        <v>15662</v>
      </c>
      <c r="O189" s="91">
        <v>1233</v>
      </c>
      <c r="P189" s="91">
        <v>415</v>
      </c>
      <c r="Q189" s="91">
        <v>0</v>
      </c>
      <c r="R189" s="91">
        <v>0</v>
      </c>
      <c r="S189" s="91">
        <v>-422</v>
      </c>
      <c r="T189" s="91">
        <v>0</v>
      </c>
      <c r="U189" s="91">
        <v>0</v>
      </c>
      <c r="V189" s="202">
        <v>0</v>
      </c>
      <c r="W189" s="91">
        <v>-53</v>
      </c>
      <c r="X189" s="91">
        <v>0</v>
      </c>
      <c r="Y189" s="91">
        <v>369</v>
      </c>
      <c r="Z189" s="91">
        <v>0</v>
      </c>
      <c r="AA189" s="91">
        <v>0</v>
      </c>
      <c r="AB189" s="91">
        <v>-53</v>
      </c>
      <c r="AC189" s="91">
        <v>-53</v>
      </c>
      <c r="AD189" s="91">
        <v>-53</v>
      </c>
      <c r="AE189" s="91">
        <v>-53</v>
      </c>
      <c r="AF189" s="91">
        <v>-53</v>
      </c>
      <c r="AG189" s="91">
        <v>-104</v>
      </c>
      <c r="AH189" s="84">
        <v>8</v>
      </c>
      <c r="AI189" s="97">
        <f t="shared" si="2"/>
        <v>1226</v>
      </c>
    </row>
    <row r="190" spans="1:35">
      <c r="A190" s="55" t="s">
        <v>355</v>
      </c>
      <c r="B190" s="91">
        <v>0</v>
      </c>
      <c r="C190" s="91">
        <v>0</v>
      </c>
      <c r="D190" s="91">
        <v>1</v>
      </c>
      <c r="E190" s="90">
        <v>1</v>
      </c>
      <c r="F190" s="91">
        <v>2594</v>
      </c>
      <c r="G190" s="91">
        <v>2224</v>
      </c>
      <c r="H190" s="91">
        <v>388</v>
      </c>
      <c r="I190" s="91">
        <v>32.300000000000011</v>
      </c>
      <c r="J190" s="91">
        <v>-18</v>
      </c>
      <c r="K190" s="91">
        <v>2626</v>
      </c>
      <c r="L190" s="91">
        <v>2567</v>
      </c>
      <c r="M190" s="91">
        <v>2450</v>
      </c>
      <c r="N190" s="91">
        <v>2758</v>
      </c>
      <c r="O190" s="91">
        <v>318</v>
      </c>
      <c r="P190" s="91">
        <v>74</v>
      </c>
      <c r="Q190" s="91">
        <v>0</v>
      </c>
      <c r="R190" s="91">
        <v>0</v>
      </c>
      <c r="S190" s="91">
        <v>-22</v>
      </c>
      <c r="T190" s="91">
        <v>0</v>
      </c>
      <c r="U190" s="91">
        <v>0</v>
      </c>
      <c r="V190" s="202">
        <v>0</v>
      </c>
      <c r="W190" s="91">
        <v>-4</v>
      </c>
      <c r="X190" s="91">
        <v>0</v>
      </c>
      <c r="Y190" s="91">
        <v>18</v>
      </c>
      <c r="Z190" s="91">
        <v>0</v>
      </c>
      <c r="AA190" s="91">
        <v>0</v>
      </c>
      <c r="AB190" s="91">
        <v>-4</v>
      </c>
      <c r="AC190" s="91">
        <v>-4</v>
      </c>
      <c r="AD190" s="91">
        <v>-4</v>
      </c>
      <c r="AE190" s="91">
        <v>-4</v>
      </c>
      <c r="AF190" s="91">
        <v>-2</v>
      </c>
      <c r="AG190" s="91">
        <v>0</v>
      </c>
      <c r="AH190" s="84">
        <v>5.8</v>
      </c>
      <c r="AI190" s="97">
        <f t="shared" si="2"/>
        <v>370</v>
      </c>
    </row>
    <row r="191" spans="1:35">
      <c r="A191" s="55" t="s">
        <v>356</v>
      </c>
      <c r="B191" s="91">
        <v>4</v>
      </c>
      <c r="C191" s="91">
        <v>0</v>
      </c>
      <c r="D191" s="91">
        <v>134</v>
      </c>
      <c r="E191" s="90">
        <v>150</v>
      </c>
      <c r="F191" s="91">
        <v>350732</v>
      </c>
      <c r="G191" s="91">
        <v>344218</v>
      </c>
      <c r="H191" s="91">
        <v>38945</v>
      </c>
      <c r="I191" s="91">
        <v>18871.04</v>
      </c>
      <c r="J191" s="91">
        <v>-16155</v>
      </c>
      <c r="K191" s="91">
        <v>379226</v>
      </c>
      <c r="L191" s="91">
        <v>323926</v>
      </c>
      <c r="M191" s="91">
        <v>308177</v>
      </c>
      <c r="N191" s="91">
        <v>401680</v>
      </c>
      <c r="O191" s="91">
        <v>30130</v>
      </c>
      <c r="P191" s="91">
        <v>10693</v>
      </c>
      <c r="Q191" s="91">
        <v>0</v>
      </c>
      <c r="R191" s="91">
        <v>0</v>
      </c>
      <c r="S191" s="91">
        <v>-18033</v>
      </c>
      <c r="T191" s="91">
        <v>16276</v>
      </c>
      <c r="U191" s="91">
        <v>0</v>
      </c>
      <c r="V191" s="202">
        <v>0</v>
      </c>
      <c r="W191" s="91">
        <v>-1878</v>
      </c>
      <c r="X191" s="91">
        <v>0</v>
      </c>
      <c r="Y191" s="91">
        <v>16155</v>
      </c>
      <c r="Z191" s="91">
        <v>0</v>
      </c>
      <c r="AA191" s="91">
        <v>0</v>
      </c>
      <c r="AB191" s="91">
        <v>-1878</v>
      </c>
      <c r="AC191" s="91">
        <v>-1878</v>
      </c>
      <c r="AD191" s="91">
        <v>-1878</v>
      </c>
      <c r="AE191" s="91">
        <v>-1878</v>
      </c>
      <c r="AF191" s="91">
        <v>-1878</v>
      </c>
      <c r="AG191" s="91">
        <v>-6765</v>
      </c>
      <c r="AH191" s="84">
        <v>9.6</v>
      </c>
      <c r="AI191" s="97">
        <f t="shared" si="2"/>
        <v>6514</v>
      </c>
    </row>
    <row r="192" spans="1:35" ht="22.5">
      <c r="A192" s="55" t="s">
        <v>357</v>
      </c>
      <c r="B192" s="91">
        <v>0</v>
      </c>
      <c r="C192" s="91">
        <v>0</v>
      </c>
      <c r="D192" s="91">
        <v>30</v>
      </c>
      <c r="E192" s="90">
        <v>35</v>
      </c>
      <c r="F192" s="91">
        <v>91381</v>
      </c>
      <c r="G192" s="91">
        <v>83124</v>
      </c>
      <c r="H192" s="91">
        <v>11220</v>
      </c>
      <c r="I192" s="91">
        <v>1440.7799999999979</v>
      </c>
      <c r="J192" s="91">
        <v>-2963</v>
      </c>
      <c r="K192" s="91">
        <v>96793</v>
      </c>
      <c r="L192" s="91">
        <v>86034</v>
      </c>
      <c r="M192" s="91">
        <v>82286</v>
      </c>
      <c r="N192" s="91">
        <v>101783</v>
      </c>
      <c r="O192" s="91">
        <v>8993</v>
      </c>
      <c r="P192" s="91">
        <v>2690</v>
      </c>
      <c r="Q192" s="91">
        <v>0</v>
      </c>
      <c r="R192" s="91">
        <v>0</v>
      </c>
      <c r="S192" s="91">
        <v>-3426</v>
      </c>
      <c r="T192" s="91">
        <v>0</v>
      </c>
      <c r="U192" s="91">
        <v>0</v>
      </c>
      <c r="V192" s="202">
        <v>0</v>
      </c>
      <c r="W192" s="91">
        <v>-463</v>
      </c>
      <c r="X192" s="91">
        <v>0</v>
      </c>
      <c r="Y192" s="91">
        <v>2963</v>
      </c>
      <c r="Z192" s="91">
        <v>0</v>
      </c>
      <c r="AA192" s="91">
        <v>0</v>
      </c>
      <c r="AB192" s="91">
        <v>-463</v>
      </c>
      <c r="AC192" s="91">
        <v>-463</v>
      </c>
      <c r="AD192" s="91">
        <v>-463</v>
      </c>
      <c r="AE192" s="91">
        <v>-463</v>
      </c>
      <c r="AF192" s="91">
        <v>-463</v>
      </c>
      <c r="AG192" s="91">
        <v>-648</v>
      </c>
      <c r="AH192" s="84">
        <v>7.4</v>
      </c>
      <c r="AI192" s="97">
        <f t="shared" si="2"/>
        <v>8257</v>
      </c>
    </row>
    <row r="193" spans="1:35">
      <c r="A193" s="55" t="s">
        <v>358</v>
      </c>
      <c r="B193" s="91">
        <v>0</v>
      </c>
      <c r="C193" s="91">
        <v>0</v>
      </c>
      <c r="D193" s="91">
        <v>10</v>
      </c>
      <c r="E193" s="90">
        <v>12</v>
      </c>
      <c r="F193" s="91">
        <v>54597</v>
      </c>
      <c r="G193" s="91">
        <v>52493</v>
      </c>
      <c r="H193" s="91">
        <v>3921</v>
      </c>
      <c r="I193" s="91">
        <v>165.64</v>
      </c>
      <c r="J193" s="91">
        <v>-1817</v>
      </c>
      <c r="K193" s="91">
        <v>57862</v>
      </c>
      <c r="L193" s="91">
        <v>51240</v>
      </c>
      <c r="M193" s="91">
        <v>49054</v>
      </c>
      <c r="N193" s="91">
        <v>60822</v>
      </c>
      <c r="O193" s="91">
        <v>2600</v>
      </c>
      <c r="P193" s="91">
        <v>1609</v>
      </c>
      <c r="Q193" s="91">
        <v>0</v>
      </c>
      <c r="R193" s="91">
        <v>0</v>
      </c>
      <c r="S193" s="91">
        <v>-2105</v>
      </c>
      <c r="T193" s="91">
        <v>0</v>
      </c>
      <c r="U193" s="91">
        <v>0</v>
      </c>
      <c r="V193" s="202">
        <v>0</v>
      </c>
      <c r="W193" s="91">
        <v>-288</v>
      </c>
      <c r="X193" s="91">
        <v>0</v>
      </c>
      <c r="Y193" s="91">
        <v>1817</v>
      </c>
      <c r="Z193" s="91">
        <v>0</v>
      </c>
      <c r="AA193" s="91">
        <v>0</v>
      </c>
      <c r="AB193" s="91">
        <v>-288</v>
      </c>
      <c r="AC193" s="91">
        <v>-288</v>
      </c>
      <c r="AD193" s="91">
        <v>-288</v>
      </c>
      <c r="AE193" s="91">
        <v>-288</v>
      </c>
      <c r="AF193" s="91">
        <v>-288</v>
      </c>
      <c r="AG193" s="91">
        <v>-377</v>
      </c>
      <c r="AH193" s="84">
        <v>7.3</v>
      </c>
      <c r="AI193" s="97">
        <f t="shared" si="2"/>
        <v>2104</v>
      </c>
    </row>
    <row r="194" spans="1:35">
      <c r="A194" s="55" t="s">
        <v>359</v>
      </c>
      <c r="B194" s="91">
        <v>0</v>
      </c>
      <c r="C194" s="91">
        <v>0</v>
      </c>
      <c r="D194" s="91">
        <v>0</v>
      </c>
      <c r="E194" s="90">
        <v>0</v>
      </c>
      <c r="F194" s="91">
        <v>0</v>
      </c>
      <c r="G194" s="91">
        <v>0</v>
      </c>
      <c r="H194" s="91">
        <v>0</v>
      </c>
      <c r="I194" s="91">
        <v>0</v>
      </c>
      <c r="J194" s="91">
        <v>0</v>
      </c>
      <c r="K194" s="91">
        <v>0</v>
      </c>
      <c r="L194" s="91">
        <v>0</v>
      </c>
      <c r="M194" s="91">
        <v>0</v>
      </c>
      <c r="N194" s="91">
        <v>0</v>
      </c>
      <c r="O194" s="91">
        <v>0</v>
      </c>
      <c r="P194" s="91">
        <v>0</v>
      </c>
      <c r="Q194" s="91">
        <v>0</v>
      </c>
      <c r="R194" s="91">
        <v>0</v>
      </c>
      <c r="S194" s="91">
        <v>0</v>
      </c>
      <c r="T194" s="91">
        <v>0</v>
      </c>
      <c r="U194" s="91">
        <v>0</v>
      </c>
      <c r="V194" s="202">
        <v>0</v>
      </c>
      <c r="W194" s="91">
        <v>0</v>
      </c>
      <c r="X194" s="91">
        <v>0</v>
      </c>
      <c r="Y194" s="91">
        <v>0</v>
      </c>
      <c r="Z194" s="91">
        <v>0</v>
      </c>
      <c r="AA194" s="91">
        <v>0</v>
      </c>
      <c r="AB194" s="91">
        <v>0</v>
      </c>
      <c r="AC194" s="91">
        <v>0</v>
      </c>
      <c r="AD194" s="91">
        <v>0</v>
      </c>
      <c r="AE194" s="91">
        <v>0</v>
      </c>
      <c r="AF194" s="91">
        <v>0</v>
      </c>
      <c r="AG194" s="91">
        <v>0</v>
      </c>
      <c r="AH194" s="84">
        <v>1</v>
      </c>
      <c r="AI194" s="97">
        <f t="shared" si="2"/>
        <v>0</v>
      </c>
    </row>
    <row r="195" spans="1:35">
      <c r="A195" s="55" t="s">
        <v>360</v>
      </c>
      <c r="B195" s="91">
        <v>1</v>
      </c>
      <c r="C195" s="91">
        <v>0</v>
      </c>
      <c r="D195" s="91">
        <v>121</v>
      </c>
      <c r="E195" s="90">
        <v>129</v>
      </c>
      <c r="F195" s="91">
        <v>186173</v>
      </c>
      <c r="G195" s="91">
        <v>176440</v>
      </c>
      <c r="H195" s="91">
        <v>24209</v>
      </c>
      <c r="I195" s="91">
        <v>6608.7199999999957</v>
      </c>
      <c r="J195" s="91">
        <v>-9490</v>
      </c>
      <c r="K195" s="91">
        <v>202758</v>
      </c>
      <c r="L195" s="91">
        <v>170741</v>
      </c>
      <c r="M195" s="91">
        <v>161548</v>
      </c>
      <c r="N195" s="91">
        <v>215915</v>
      </c>
      <c r="O195" s="91">
        <v>19568</v>
      </c>
      <c r="P195" s="91">
        <v>5651</v>
      </c>
      <c r="Q195" s="91">
        <v>0</v>
      </c>
      <c r="R195" s="91">
        <v>0</v>
      </c>
      <c r="S195" s="91">
        <v>-10500</v>
      </c>
      <c r="T195" s="91">
        <v>4986</v>
      </c>
      <c r="U195" s="91">
        <v>0</v>
      </c>
      <c r="V195" s="202">
        <v>0</v>
      </c>
      <c r="W195" s="91">
        <v>-1010</v>
      </c>
      <c r="X195" s="91">
        <v>0</v>
      </c>
      <c r="Y195" s="91">
        <v>9490</v>
      </c>
      <c r="Z195" s="91">
        <v>0</v>
      </c>
      <c r="AA195" s="91">
        <v>0</v>
      </c>
      <c r="AB195" s="91">
        <v>-1010</v>
      </c>
      <c r="AC195" s="91">
        <v>-1010</v>
      </c>
      <c r="AD195" s="91">
        <v>-1010</v>
      </c>
      <c r="AE195" s="91">
        <v>-1010</v>
      </c>
      <c r="AF195" s="91">
        <v>-1010</v>
      </c>
      <c r="AG195" s="91">
        <v>-4440</v>
      </c>
      <c r="AH195" s="84">
        <v>10.4</v>
      </c>
      <c r="AI195" s="97">
        <f t="shared" si="2"/>
        <v>9733</v>
      </c>
    </row>
    <row r="196" spans="1:35" ht="22.5">
      <c r="A196" s="55" t="s">
        <v>361</v>
      </c>
      <c r="B196" s="91">
        <v>0</v>
      </c>
      <c r="C196" s="91">
        <v>0</v>
      </c>
      <c r="D196" s="91">
        <v>8</v>
      </c>
      <c r="E196" s="90">
        <v>8</v>
      </c>
      <c r="F196" s="91">
        <v>15458</v>
      </c>
      <c r="G196" s="91">
        <v>14461</v>
      </c>
      <c r="H196" s="91">
        <v>1741</v>
      </c>
      <c r="I196" s="91">
        <v>10.549999999999969</v>
      </c>
      <c r="J196" s="91">
        <v>-744</v>
      </c>
      <c r="K196" s="91">
        <v>16760</v>
      </c>
      <c r="L196" s="91">
        <v>14272</v>
      </c>
      <c r="M196" s="91">
        <v>13464</v>
      </c>
      <c r="N196" s="91">
        <v>17806</v>
      </c>
      <c r="O196" s="91">
        <v>1353</v>
      </c>
      <c r="P196" s="91">
        <v>462</v>
      </c>
      <c r="Q196" s="91">
        <v>0</v>
      </c>
      <c r="R196" s="91">
        <v>0</v>
      </c>
      <c r="S196" s="91">
        <v>-818</v>
      </c>
      <c r="T196" s="91">
        <v>0</v>
      </c>
      <c r="U196" s="91">
        <v>0</v>
      </c>
      <c r="V196" s="202">
        <v>0</v>
      </c>
      <c r="W196" s="91">
        <v>-74</v>
      </c>
      <c r="X196" s="91">
        <v>0</v>
      </c>
      <c r="Y196" s="91">
        <v>744</v>
      </c>
      <c r="Z196" s="91">
        <v>0</v>
      </c>
      <c r="AA196" s="91">
        <v>0</v>
      </c>
      <c r="AB196" s="91">
        <v>-74</v>
      </c>
      <c r="AC196" s="91">
        <v>-74</v>
      </c>
      <c r="AD196" s="91">
        <v>-74</v>
      </c>
      <c r="AE196" s="91">
        <v>-74</v>
      </c>
      <c r="AF196" s="91">
        <v>-74</v>
      </c>
      <c r="AG196" s="91">
        <v>-374</v>
      </c>
      <c r="AH196" s="84">
        <v>11</v>
      </c>
      <c r="AI196" s="97">
        <f t="shared" si="2"/>
        <v>997</v>
      </c>
    </row>
    <row r="197" spans="1:35" ht="22.5">
      <c r="A197" s="55" t="s">
        <v>362</v>
      </c>
      <c r="B197" s="91">
        <v>0</v>
      </c>
      <c r="C197" s="91">
        <v>0</v>
      </c>
      <c r="D197" s="91">
        <v>9</v>
      </c>
      <c r="E197" s="90">
        <v>10</v>
      </c>
      <c r="F197" s="91">
        <v>12995</v>
      </c>
      <c r="G197" s="91">
        <v>11182</v>
      </c>
      <c r="H197" s="91">
        <v>2514</v>
      </c>
      <c r="I197" s="91">
        <v>213.62999999999994</v>
      </c>
      <c r="J197" s="91">
        <v>-701</v>
      </c>
      <c r="K197" s="91">
        <v>14199</v>
      </c>
      <c r="L197" s="91">
        <v>11928</v>
      </c>
      <c r="M197" s="91">
        <v>11224</v>
      </c>
      <c r="N197" s="91">
        <v>15215</v>
      </c>
      <c r="O197" s="91">
        <v>2195</v>
      </c>
      <c r="P197" s="91">
        <v>391</v>
      </c>
      <c r="Q197" s="91">
        <v>0</v>
      </c>
      <c r="R197" s="91">
        <v>0</v>
      </c>
      <c r="S197" s="91">
        <v>-773</v>
      </c>
      <c r="T197" s="91">
        <v>0</v>
      </c>
      <c r="U197" s="91">
        <v>0</v>
      </c>
      <c r="V197" s="202">
        <v>0</v>
      </c>
      <c r="W197" s="91">
        <v>-72</v>
      </c>
      <c r="X197" s="91">
        <v>0</v>
      </c>
      <c r="Y197" s="91">
        <v>701</v>
      </c>
      <c r="Z197" s="91">
        <v>0</v>
      </c>
      <c r="AA197" s="91">
        <v>0</v>
      </c>
      <c r="AB197" s="91">
        <v>-72</v>
      </c>
      <c r="AC197" s="91">
        <v>-72</v>
      </c>
      <c r="AD197" s="91">
        <v>-72</v>
      </c>
      <c r="AE197" s="91">
        <v>-72</v>
      </c>
      <c r="AF197" s="91">
        <v>-72</v>
      </c>
      <c r="AG197" s="91">
        <v>-341</v>
      </c>
      <c r="AH197" s="84">
        <v>10.7</v>
      </c>
      <c r="AI197" s="97">
        <f t="shared" ref="AI197:AI260" si="3">O197+P197+Q197+R197+S197-T197</f>
        <v>1813</v>
      </c>
    </row>
    <row r="198" spans="1:35" ht="22.5">
      <c r="A198" s="55" t="s">
        <v>363</v>
      </c>
      <c r="B198" s="91">
        <v>0</v>
      </c>
      <c r="C198" s="91">
        <v>0</v>
      </c>
      <c r="D198" s="91">
        <v>0</v>
      </c>
      <c r="E198" s="90">
        <v>0</v>
      </c>
      <c r="F198" s="91">
        <v>0</v>
      </c>
      <c r="G198" s="91">
        <v>0</v>
      </c>
      <c r="H198" s="91">
        <v>0</v>
      </c>
      <c r="I198" s="91">
        <v>0</v>
      </c>
      <c r="J198" s="91">
        <v>0</v>
      </c>
      <c r="K198" s="91">
        <v>0</v>
      </c>
      <c r="L198" s="91">
        <v>0</v>
      </c>
      <c r="M198" s="91">
        <v>0</v>
      </c>
      <c r="N198" s="91">
        <v>0</v>
      </c>
      <c r="O198" s="91">
        <v>0</v>
      </c>
      <c r="P198" s="91">
        <v>0</v>
      </c>
      <c r="Q198" s="91">
        <v>0</v>
      </c>
      <c r="R198" s="91">
        <v>0</v>
      </c>
      <c r="S198" s="91">
        <v>0</v>
      </c>
      <c r="T198" s="91">
        <v>0</v>
      </c>
      <c r="U198" s="91">
        <v>0</v>
      </c>
      <c r="V198" s="202">
        <v>0</v>
      </c>
      <c r="W198" s="91">
        <v>0</v>
      </c>
      <c r="X198" s="91">
        <v>0</v>
      </c>
      <c r="Y198" s="91">
        <v>0</v>
      </c>
      <c r="Z198" s="91">
        <v>0</v>
      </c>
      <c r="AA198" s="91">
        <v>0</v>
      </c>
      <c r="AB198" s="91">
        <v>0</v>
      </c>
      <c r="AC198" s="91">
        <v>0</v>
      </c>
      <c r="AD198" s="91">
        <v>0</v>
      </c>
      <c r="AE198" s="91">
        <v>0</v>
      </c>
      <c r="AF198" s="91">
        <v>0</v>
      </c>
      <c r="AG198" s="91">
        <v>0</v>
      </c>
      <c r="AH198" s="84">
        <v>1</v>
      </c>
      <c r="AI198" s="97">
        <f t="shared" si="3"/>
        <v>0</v>
      </c>
    </row>
    <row r="199" spans="1:35">
      <c r="A199" s="55" t="s">
        <v>364</v>
      </c>
      <c r="B199" s="91">
        <v>0</v>
      </c>
      <c r="C199" s="91">
        <v>0</v>
      </c>
      <c r="D199" s="91">
        <v>10</v>
      </c>
      <c r="E199" s="90">
        <v>11</v>
      </c>
      <c r="F199" s="91">
        <v>24279</v>
      </c>
      <c r="G199" s="91">
        <v>22719</v>
      </c>
      <c r="H199" s="91">
        <v>3043</v>
      </c>
      <c r="I199" s="91">
        <v>577.65999999999985</v>
      </c>
      <c r="J199" s="91">
        <v>-1483</v>
      </c>
      <c r="K199" s="91">
        <v>26812</v>
      </c>
      <c r="L199" s="91">
        <v>22042</v>
      </c>
      <c r="M199" s="91">
        <v>20843</v>
      </c>
      <c r="N199" s="91">
        <v>28695</v>
      </c>
      <c r="O199" s="91">
        <v>2488</v>
      </c>
      <c r="P199" s="91">
        <v>736</v>
      </c>
      <c r="Q199" s="91">
        <v>0</v>
      </c>
      <c r="R199" s="91">
        <v>0</v>
      </c>
      <c r="S199" s="91">
        <v>-1664</v>
      </c>
      <c r="T199" s="91">
        <v>0</v>
      </c>
      <c r="U199" s="91">
        <v>0</v>
      </c>
      <c r="V199" s="202">
        <v>0</v>
      </c>
      <c r="W199" s="91">
        <v>-181</v>
      </c>
      <c r="X199" s="91">
        <v>0</v>
      </c>
      <c r="Y199" s="91">
        <v>1483</v>
      </c>
      <c r="Z199" s="91">
        <v>0</v>
      </c>
      <c r="AA199" s="91">
        <v>0</v>
      </c>
      <c r="AB199" s="91">
        <v>-181</v>
      </c>
      <c r="AC199" s="91">
        <v>-181</v>
      </c>
      <c r="AD199" s="91">
        <v>-181</v>
      </c>
      <c r="AE199" s="91">
        <v>-181</v>
      </c>
      <c r="AF199" s="91">
        <v>-181</v>
      </c>
      <c r="AG199" s="91">
        <v>-578</v>
      </c>
      <c r="AH199" s="84">
        <v>9.1999999999999993</v>
      </c>
      <c r="AI199" s="97">
        <f t="shared" si="3"/>
        <v>1560</v>
      </c>
    </row>
    <row r="200" spans="1:35">
      <c r="A200" s="55" t="s">
        <v>365</v>
      </c>
      <c r="B200" s="91">
        <v>0</v>
      </c>
      <c r="C200" s="91">
        <v>0</v>
      </c>
      <c r="D200" s="91">
        <v>0</v>
      </c>
      <c r="E200" s="90">
        <v>0</v>
      </c>
      <c r="F200" s="91">
        <v>0</v>
      </c>
      <c r="G200" s="91">
        <v>0</v>
      </c>
      <c r="H200" s="91">
        <v>0</v>
      </c>
      <c r="I200" s="91">
        <v>0</v>
      </c>
      <c r="J200" s="91">
        <v>0</v>
      </c>
      <c r="K200" s="91">
        <v>0</v>
      </c>
      <c r="L200" s="91">
        <v>0</v>
      </c>
      <c r="M200" s="91">
        <v>0</v>
      </c>
      <c r="N200" s="91">
        <v>0</v>
      </c>
      <c r="O200" s="91">
        <v>0</v>
      </c>
      <c r="P200" s="91">
        <v>0</v>
      </c>
      <c r="Q200" s="91">
        <v>0</v>
      </c>
      <c r="R200" s="91">
        <v>0</v>
      </c>
      <c r="S200" s="91">
        <v>0</v>
      </c>
      <c r="T200" s="91">
        <v>0</v>
      </c>
      <c r="U200" s="91">
        <v>0</v>
      </c>
      <c r="V200" s="202">
        <v>0</v>
      </c>
      <c r="W200" s="91">
        <v>0</v>
      </c>
      <c r="X200" s="91">
        <v>0</v>
      </c>
      <c r="Y200" s="91">
        <v>0</v>
      </c>
      <c r="Z200" s="91">
        <v>0</v>
      </c>
      <c r="AA200" s="91">
        <v>0</v>
      </c>
      <c r="AB200" s="91">
        <v>0</v>
      </c>
      <c r="AC200" s="91">
        <v>0</v>
      </c>
      <c r="AD200" s="91">
        <v>0</v>
      </c>
      <c r="AE200" s="91">
        <v>0</v>
      </c>
      <c r="AF200" s="91">
        <v>0</v>
      </c>
      <c r="AG200" s="91">
        <v>0</v>
      </c>
      <c r="AH200" s="84">
        <v>1</v>
      </c>
      <c r="AI200" s="97">
        <f t="shared" si="3"/>
        <v>0</v>
      </c>
    </row>
    <row r="201" spans="1:35">
      <c r="A201" s="55" t="s">
        <v>366</v>
      </c>
      <c r="B201" s="91">
        <v>0</v>
      </c>
      <c r="C201" s="91">
        <v>0</v>
      </c>
      <c r="D201" s="91">
        <v>0</v>
      </c>
      <c r="E201" s="90">
        <v>0</v>
      </c>
      <c r="F201" s="91">
        <v>0</v>
      </c>
      <c r="G201" s="91">
        <v>0</v>
      </c>
      <c r="H201" s="91">
        <v>0</v>
      </c>
      <c r="I201" s="91">
        <v>0</v>
      </c>
      <c r="J201" s="91">
        <v>0</v>
      </c>
      <c r="K201" s="91">
        <v>0</v>
      </c>
      <c r="L201" s="91">
        <v>0</v>
      </c>
      <c r="M201" s="91">
        <v>0</v>
      </c>
      <c r="N201" s="91">
        <v>0</v>
      </c>
      <c r="O201" s="91">
        <v>0</v>
      </c>
      <c r="P201" s="91">
        <v>0</v>
      </c>
      <c r="Q201" s="91">
        <v>0</v>
      </c>
      <c r="R201" s="91">
        <v>0</v>
      </c>
      <c r="S201" s="91">
        <v>0</v>
      </c>
      <c r="T201" s="91">
        <v>0</v>
      </c>
      <c r="U201" s="91">
        <v>0</v>
      </c>
      <c r="V201" s="202">
        <v>0</v>
      </c>
      <c r="W201" s="91">
        <v>0</v>
      </c>
      <c r="X201" s="91">
        <v>0</v>
      </c>
      <c r="Y201" s="91">
        <v>0</v>
      </c>
      <c r="Z201" s="91">
        <v>0</v>
      </c>
      <c r="AA201" s="91">
        <v>0</v>
      </c>
      <c r="AB201" s="91">
        <v>0</v>
      </c>
      <c r="AC201" s="91">
        <v>0</v>
      </c>
      <c r="AD201" s="91">
        <v>0</v>
      </c>
      <c r="AE201" s="91">
        <v>0</v>
      </c>
      <c r="AF201" s="91">
        <v>0</v>
      </c>
      <c r="AG201" s="91">
        <v>0</v>
      </c>
      <c r="AH201" s="84">
        <v>1</v>
      </c>
      <c r="AI201" s="97">
        <f t="shared" si="3"/>
        <v>0</v>
      </c>
    </row>
    <row r="202" spans="1:35">
      <c r="A202" s="55" t="s">
        <v>367</v>
      </c>
      <c r="B202" s="91">
        <v>0</v>
      </c>
      <c r="C202" s="91">
        <v>0</v>
      </c>
      <c r="D202" s="91">
        <v>0</v>
      </c>
      <c r="E202" s="90">
        <v>0</v>
      </c>
      <c r="F202" s="91">
        <v>0</v>
      </c>
      <c r="G202" s="91">
        <v>0</v>
      </c>
      <c r="H202" s="91">
        <v>0</v>
      </c>
      <c r="I202" s="91">
        <v>0</v>
      </c>
      <c r="J202" s="91">
        <v>0</v>
      </c>
      <c r="K202" s="91">
        <v>0</v>
      </c>
      <c r="L202" s="91">
        <v>0</v>
      </c>
      <c r="M202" s="91">
        <v>0</v>
      </c>
      <c r="N202" s="91">
        <v>0</v>
      </c>
      <c r="O202" s="91">
        <v>0</v>
      </c>
      <c r="P202" s="91">
        <v>0</v>
      </c>
      <c r="Q202" s="91">
        <v>0</v>
      </c>
      <c r="R202" s="91">
        <v>0</v>
      </c>
      <c r="S202" s="91">
        <v>0</v>
      </c>
      <c r="T202" s="91">
        <v>0</v>
      </c>
      <c r="U202" s="91">
        <v>0</v>
      </c>
      <c r="V202" s="202">
        <v>0</v>
      </c>
      <c r="W202" s="91">
        <v>0</v>
      </c>
      <c r="X202" s="91">
        <v>0</v>
      </c>
      <c r="Y202" s="91">
        <v>0</v>
      </c>
      <c r="Z202" s="91">
        <v>0</v>
      </c>
      <c r="AA202" s="91">
        <v>0</v>
      </c>
      <c r="AB202" s="91">
        <v>0</v>
      </c>
      <c r="AC202" s="91">
        <v>0</v>
      </c>
      <c r="AD202" s="91">
        <v>0</v>
      </c>
      <c r="AE202" s="91">
        <v>0</v>
      </c>
      <c r="AF202" s="91">
        <v>0</v>
      </c>
      <c r="AG202" s="91">
        <v>0</v>
      </c>
      <c r="AH202" s="84">
        <v>1</v>
      </c>
      <c r="AI202" s="97">
        <f t="shared" si="3"/>
        <v>0</v>
      </c>
    </row>
    <row r="203" spans="1:35">
      <c r="A203" s="55" t="s">
        <v>368</v>
      </c>
      <c r="B203" s="91">
        <v>0</v>
      </c>
      <c r="C203" s="91">
        <v>0</v>
      </c>
      <c r="D203" s="91">
        <v>45</v>
      </c>
      <c r="E203" s="90">
        <v>46</v>
      </c>
      <c r="F203" s="91">
        <v>71854</v>
      </c>
      <c r="G203" s="91">
        <v>65484</v>
      </c>
      <c r="H203" s="91">
        <v>9008</v>
      </c>
      <c r="I203" s="91">
        <v>421.90000000000032</v>
      </c>
      <c r="J203" s="91">
        <v>-2638</v>
      </c>
      <c r="K203" s="91">
        <v>76560</v>
      </c>
      <c r="L203" s="91">
        <v>67342</v>
      </c>
      <c r="M203" s="91">
        <v>64486</v>
      </c>
      <c r="N203" s="91">
        <v>80530</v>
      </c>
      <c r="O203" s="91">
        <v>7237</v>
      </c>
      <c r="P203" s="91">
        <v>2123</v>
      </c>
      <c r="Q203" s="91">
        <v>0</v>
      </c>
      <c r="R203" s="91">
        <v>0</v>
      </c>
      <c r="S203" s="91">
        <v>-2990</v>
      </c>
      <c r="T203" s="91">
        <v>0</v>
      </c>
      <c r="U203" s="91">
        <v>0</v>
      </c>
      <c r="V203" s="202">
        <v>0</v>
      </c>
      <c r="W203" s="91">
        <v>-352</v>
      </c>
      <c r="X203" s="91">
        <v>0</v>
      </c>
      <c r="Y203" s="91">
        <v>2638</v>
      </c>
      <c r="Z203" s="91">
        <v>0</v>
      </c>
      <c r="AA203" s="91">
        <v>0</v>
      </c>
      <c r="AB203" s="91">
        <v>-352</v>
      </c>
      <c r="AC203" s="91">
        <v>-352</v>
      </c>
      <c r="AD203" s="91">
        <v>-352</v>
      </c>
      <c r="AE203" s="91">
        <v>-352</v>
      </c>
      <c r="AF203" s="91">
        <v>-352</v>
      </c>
      <c r="AG203" s="91">
        <v>-878</v>
      </c>
      <c r="AH203" s="84">
        <v>8.5</v>
      </c>
      <c r="AI203" s="97">
        <f t="shared" si="3"/>
        <v>6370</v>
      </c>
    </row>
    <row r="204" spans="1:35">
      <c r="A204" s="55" t="s">
        <v>369</v>
      </c>
      <c r="B204" s="91">
        <v>4</v>
      </c>
      <c r="C204" s="91">
        <v>0</v>
      </c>
      <c r="D204" s="91">
        <v>149</v>
      </c>
      <c r="E204" s="90">
        <v>163</v>
      </c>
      <c r="F204" s="91">
        <v>1146884</v>
      </c>
      <c r="G204" s="91">
        <v>1165288</v>
      </c>
      <c r="H204" s="91">
        <v>96285</v>
      </c>
      <c r="I204" s="91">
        <v>57757.310000000005</v>
      </c>
      <c r="J204" s="91">
        <v>-55550</v>
      </c>
      <c r="K204" s="91">
        <v>1245055</v>
      </c>
      <c r="L204" s="91">
        <v>1055257</v>
      </c>
      <c r="M204" s="91">
        <v>1008646</v>
      </c>
      <c r="N204" s="91">
        <v>1312885</v>
      </c>
      <c r="O204" s="91">
        <v>67834</v>
      </c>
      <c r="P204" s="91">
        <v>35144</v>
      </c>
      <c r="Q204" s="91">
        <v>0</v>
      </c>
      <c r="R204" s="91">
        <v>0</v>
      </c>
      <c r="S204" s="91">
        <v>-62243</v>
      </c>
      <c r="T204" s="91">
        <v>59139</v>
      </c>
      <c r="U204" s="91">
        <v>0</v>
      </c>
      <c r="V204" s="202">
        <v>0</v>
      </c>
      <c r="W204" s="91">
        <v>-6693</v>
      </c>
      <c r="X204" s="91">
        <v>0</v>
      </c>
      <c r="Y204" s="91">
        <v>55550</v>
      </c>
      <c r="Z204" s="91">
        <v>0</v>
      </c>
      <c r="AA204" s="91">
        <v>0</v>
      </c>
      <c r="AB204" s="91">
        <v>-6693</v>
      </c>
      <c r="AC204" s="91">
        <v>-6693</v>
      </c>
      <c r="AD204" s="91">
        <v>-6693</v>
      </c>
      <c r="AE204" s="91">
        <v>-6693</v>
      </c>
      <c r="AF204" s="91">
        <v>-6693</v>
      </c>
      <c r="AG204" s="91">
        <v>-22085</v>
      </c>
      <c r="AH204" s="84">
        <v>9.3000000000000007</v>
      </c>
      <c r="AI204" s="97">
        <f t="shared" si="3"/>
        <v>-18404</v>
      </c>
    </row>
    <row r="205" spans="1:35">
      <c r="A205" s="55" t="s">
        <v>370</v>
      </c>
      <c r="B205" s="91">
        <v>0</v>
      </c>
      <c r="C205" s="91">
        <v>0</v>
      </c>
      <c r="D205" s="91">
        <v>0</v>
      </c>
      <c r="E205" s="90">
        <v>0</v>
      </c>
      <c r="F205" s="91">
        <v>0</v>
      </c>
      <c r="G205" s="91">
        <v>0</v>
      </c>
      <c r="H205" s="91">
        <v>0</v>
      </c>
      <c r="I205" s="91">
        <v>0</v>
      </c>
      <c r="J205" s="91">
        <v>0</v>
      </c>
      <c r="K205" s="91">
        <v>0</v>
      </c>
      <c r="L205" s="91">
        <v>0</v>
      </c>
      <c r="M205" s="91">
        <v>0</v>
      </c>
      <c r="N205" s="91">
        <v>0</v>
      </c>
      <c r="O205" s="91">
        <v>0</v>
      </c>
      <c r="P205" s="91">
        <v>0</v>
      </c>
      <c r="Q205" s="91">
        <v>0</v>
      </c>
      <c r="R205" s="91">
        <v>0</v>
      </c>
      <c r="S205" s="91">
        <v>0</v>
      </c>
      <c r="T205" s="91">
        <v>0</v>
      </c>
      <c r="U205" s="91">
        <v>0</v>
      </c>
      <c r="V205" s="202">
        <v>0</v>
      </c>
      <c r="W205" s="91">
        <v>0</v>
      </c>
      <c r="X205" s="91">
        <v>0</v>
      </c>
      <c r="Y205" s="91">
        <v>0</v>
      </c>
      <c r="Z205" s="91">
        <v>0</v>
      </c>
      <c r="AA205" s="91">
        <v>0</v>
      </c>
      <c r="AB205" s="91">
        <v>0</v>
      </c>
      <c r="AC205" s="91">
        <v>0</v>
      </c>
      <c r="AD205" s="91">
        <v>0</v>
      </c>
      <c r="AE205" s="91">
        <v>0</v>
      </c>
      <c r="AF205" s="91">
        <v>0</v>
      </c>
      <c r="AG205" s="91">
        <v>0</v>
      </c>
      <c r="AH205" s="84">
        <v>1</v>
      </c>
      <c r="AI205" s="97">
        <f t="shared" si="3"/>
        <v>0</v>
      </c>
    </row>
    <row r="206" spans="1:35">
      <c r="A206" s="55" t="s">
        <v>371</v>
      </c>
      <c r="B206" s="91">
        <v>0</v>
      </c>
      <c r="C206" s="91">
        <v>0</v>
      </c>
      <c r="D206" s="91">
        <v>16</v>
      </c>
      <c r="E206" s="90">
        <v>17</v>
      </c>
      <c r="F206" s="91">
        <v>286733</v>
      </c>
      <c r="G206" s="91">
        <v>275349</v>
      </c>
      <c r="H206" s="91">
        <v>22664</v>
      </c>
      <c r="I206" s="91">
        <v>3333.1199999999985</v>
      </c>
      <c r="J206" s="91">
        <v>-11280</v>
      </c>
      <c r="K206" s="91">
        <v>307252</v>
      </c>
      <c r="L206" s="91">
        <v>266870</v>
      </c>
      <c r="M206" s="91">
        <v>254822</v>
      </c>
      <c r="N206" s="91">
        <v>323977</v>
      </c>
      <c r="O206" s="91">
        <v>15922</v>
      </c>
      <c r="P206" s="91">
        <v>8505</v>
      </c>
      <c r="Q206" s="91">
        <v>0</v>
      </c>
      <c r="R206" s="91">
        <v>0</v>
      </c>
      <c r="S206" s="91">
        <v>-13043</v>
      </c>
      <c r="T206" s="91">
        <v>0</v>
      </c>
      <c r="U206" s="91">
        <v>0</v>
      </c>
      <c r="V206" s="202">
        <v>0</v>
      </c>
      <c r="W206" s="91">
        <v>-1763</v>
      </c>
      <c r="X206" s="91">
        <v>0</v>
      </c>
      <c r="Y206" s="91">
        <v>11280</v>
      </c>
      <c r="Z206" s="91">
        <v>0</v>
      </c>
      <c r="AA206" s="91">
        <v>0</v>
      </c>
      <c r="AB206" s="91">
        <v>-1763</v>
      </c>
      <c r="AC206" s="91">
        <v>-1763</v>
      </c>
      <c r="AD206" s="91">
        <v>-1763</v>
      </c>
      <c r="AE206" s="91">
        <v>-1763</v>
      </c>
      <c r="AF206" s="91">
        <v>-1763</v>
      </c>
      <c r="AG206" s="91">
        <v>-2465</v>
      </c>
      <c r="AH206" s="84">
        <v>7.4</v>
      </c>
      <c r="AI206" s="97">
        <f t="shared" si="3"/>
        <v>11384</v>
      </c>
    </row>
    <row r="207" spans="1:35" ht="22.5">
      <c r="A207" s="55" t="s">
        <v>372</v>
      </c>
      <c r="B207" s="91">
        <v>0</v>
      </c>
      <c r="C207" s="91">
        <v>0</v>
      </c>
      <c r="D207" s="91">
        <v>11</v>
      </c>
      <c r="E207" s="90">
        <v>11</v>
      </c>
      <c r="F207" s="91">
        <v>41544</v>
      </c>
      <c r="G207" s="91">
        <v>39098</v>
      </c>
      <c r="H207" s="91">
        <v>4109</v>
      </c>
      <c r="I207" s="91">
        <v>338.24</v>
      </c>
      <c r="J207" s="91">
        <v>-1663</v>
      </c>
      <c r="K207" s="91">
        <v>44531</v>
      </c>
      <c r="L207" s="91">
        <v>38695</v>
      </c>
      <c r="M207" s="91">
        <v>36951</v>
      </c>
      <c r="N207" s="91">
        <v>46954</v>
      </c>
      <c r="O207" s="91">
        <v>3085</v>
      </c>
      <c r="P207" s="91">
        <v>1232</v>
      </c>
      <c r="Q207" s="91">
        <v>0</v>
      </c>
      <c r="R207" s="91">
        <v>0</v>
      </c>
      <c r="S207" s="91">
        <v>-1871</v>
      </c>
      <c r="T207" s="91">
        <v>0</v>
      </c>
      <c r="U207" s="91">
        <v>0</v>
      </c>
      <c r="V207" s="202">
        <v>0</v>
      </c>
      <c r="W207" s="91">
        <v>-208</v>
      </c>
      <c r="X207" s="91">
        <v>0</v>
      </c>
      <c r="Y207" s="91">
        <v>1663</v>
      </c>
      <c r="Z207" s="91">
        <v>0</v>
      </c>
      <c r="AA207" s="91">
        <v>0</v>
      </c>
      <c r="AB207" s="91">
        <v>-208</v>
      </c>
      <c r="AC207" s="91">
        <v>-208</v>
      </c>
      <c r="AD207" s="91">
        <v>-208</v>
      </c>
      <c r="AE207" s="91">
        <v>-208</v>
      </c>
      <c r="AF207" s="91">
        <v>-208</v>
      </c>
      <c r="AG207" s="91">
        <v>-623</v>
      </c>
      <c r="AH207" s="84">
        <v>9</v>
      </c>
      <c r="AI207" s="97">
        <f t="shared" si="3"/>
        <v>2446</v>
      </c>
    </row>
    <row r="208" spans="1:35">
      <c r="A208" s="55" t="s">
        <v>373</v>
      </c>
      <c r="B208" s="91">
        <v>0</v>
      </c>
      <c r="C208" s="91">
        <v>0</v>
      </c>
      <c r="D208" s="91">
        <v>0</v>
      </c>
      <c r="E208" s="90">
        <v>0</v>
      </c>
      <c r="F208" s="91">
        <v>0</v>
      </c>
      <c r="G208" s="91">
        <v>0</v>
      </c>
      <c r="H208" s="91">
        <v>0</v>
      </c>
      <c r="I208" s="91">
        <v>0</v>
      </c>
      <c r="J208" s="91">
        <v>0</v>
      </c>
      <c r="K208" s="91">
        <v>0</v>
      </c>
      <c r="L208" s="91">
        <v>0</v>
      </c>
      <c r="M208" s="91">
        <v>0</v>
      </c>
      <c r="N208" s="91">
        <v>0</v>
      </c>
      <c r="O208" s="91">
        <v>0</v>
      </c>
      <c r="P208" s="91">
        <v>0</v>
      </c>
      <c r="Q208" s="91">
        <v>0</v>
      </c>
      <c r="R208" s="91">
        <v>0</v>
      </c>
      <c r="S208" s="91">
        <v>0</v>
      </c>
      <c r="T208" s="91">
        <v>0</v>
      </c>
      <c r="U208" s="91">
        <v>0</v>
      </c>
      <c r="V208" s="202">
        <v>0</v>
      </c>
      <c r="W208" s="91">
        <v>0</v>
      </c>
      <c r="X208" s="91">
        <v>0</v>
      </c>
      <c r="Y208" s="91">
        <v>0</v>
      </c>
      <c r="Z208" s="91">
        <v>0</v>
      </c>
      <c r="AA208" s="91">
        <v>0</v>
      </c>
      <c r="AB208" s="91">
        <v>0</v>
      </c>
      <c r="AC208" s="91">
        <v>0</v>
      </c>
      <c r="AD208" s="91">
        <v>0</v>
      </c>
      <c r="AE208" s="91">
        <v>0</v>
      </c>
      <c r="AF208" s="91">
        <v>0</v>
      </c>
      <c r="AG208" s="91">
        <v>0</v>
      </c>
      <c r="AH208" s="84">
        <v>1</v>
      </c>
      <c r="AI208" s="97">
        <f t="shared" si="3"/>
        <v>0</v>
      </c>
    </row>
    <row r="209" spans="1:35">
      <c r="A209" s="55" t="s">
        <v>374</v>
      </c>
      <c r="B209" s="91">
        <v>0</v>
      </c>
      <c r="C209" s="91">
        <v>0</v>
      </c>
      <c r="D209" s="91">
        <v>0</v>
      </c>
      <c r="E209" s="90">
        <v>0</v>
      </c>
      <c r="F209" s="91">
        <v>0</v>
      </c>
      <c r="G209" s="91">
        <v>0</v>
      </c>
      <c r="H209" s="91">
        <v>0</v>
      </c>
      <c r="I209" s="91">
        <v>0</v>
      </c>
      <c r="J209" s="91">
        <v>0</v>
      </c>
      <c r="K209" s="91">
        <v>0</v>
      </c>
      <c r="L209" s="91">
        <v>0</v>
      </c>
      <c r="M209" s="91">
        <v>0</v>
      </c>
      <c r="N209" s="91">
        <v>0</v>
      </c>
      <c r="O209" s="91">
        <v>0</v>
      </c>
      <c r="P209" s="91">
        <v>0</v>
      </c>
      <c r="Q209" s="91">
        <v>0</v>
      </c>
      <c r="R209" s="91">
        <v>0</v>
      </c>
      <c r="S209" s="91">
        <v>0</v>
      </c>
      <c r="T209" s="91">
        <v>0</v>
      </c>
      <c r="U209" s="91">
        <v>0</v>
      </c>
      <c r="V209" s="202">
        <v>0</v>
      </c>
      <c r="W209" s="91">
        <v>0</v>
      </c>
      <c r="X209" s="91">
        <v>0</v>
      </c>
      <c r="Y209" s="91">
        <v>0</v>
      </c>
      <c r="Z209" s="91">
        <v>0</v>
      </c>
      <c r="AA209" s="91">
        <v>0</v>
      </c>
      <c r="AB209" s="91">
        <v>0</v>
      </c>
      <c r="AC209" s="91">
        <v>0</v>
      </c>
      <c r="AD209" s="91">
        <v>0</v>
      </c>
      <c r="AE209" s="91">
        <v>0</v>
      </c>
      <c r="AF209" s="91">
        <v>0</v>
      </c>
      <c r="AG209" s="91">
        <v>0</v>
      </c>
      <c r="AH209" s="84">
        <v>1</v>
      </c>
      <c r="AI209" s="97">
        <f t="shared" si="3"/>
        <v>0</v>
      </c>
    </row>
    <row r="210" spans="1:35">
      <c r="A210" s="55" t="s">
        <v>375</v>
      </c>
      <c r="B210" s="91">
        <v>0</v>
      </c>
      <c r="C210" s="91">
        <v>0</v>
      </c>
      <c r="D210" s="91">
        <v>13</v>
      </c>
      <c r="E210" s="90">
        <v>14</v>
      </c>
      <c r="F210" s="91">
        <v>32544</v>
      </c>
      <c r="G210" s="91">
        <v>29096</v>
      </c>
      <c r="H210" s="91">
        <v>4770</v>
      </c>
      <c r="I210" s="91">
        <v>101.76999999999992</v>
      </c>
      <c r="J210" s="91">
        <v>-1322</v>
      </c>
      <c r="K210" s="91">
        <v>34839</v>
      </c>
      <c r="L210" s="91">
        <v>30399</v>
      </c>
      <c r="M210" s="91">
        <v>28871</v>
      </c>
      <c r="N210" s="91">
        <v>36850</v>
      </c>
      <c r="O210" s="91">
        <v>3954</v>
      </c>
      <c r="P210" s="91">
        <v>965</v>
      </c>
      <c r="Q210" s="91">
        <v>0</v>
      </c>
      <c r="R210" s="91">
        <v>0</v>
      </c>
      <c r="S210" s="91">
        <v>-1471</v>
      </c>
      <c r="T210" s="91">
        <v>0</v>
      </c>
      <c r="U210" s="91">
        <v>0</v>
      </c>
      <c r="V210" s="202">
        <v>0</v>
      </c>
      <c r="W210" s="91">
        <v>-149</v>
      </c>
      <c r="X210" s="91">
        <v>0</v>
      </c>
      <c r="Y210" s="91">
        <v>1322</v>
      </c>
      <c r="Z210" s="91">
        <v>0</v>
      </c>
      <c r="AA210" s="91">
        <v>0</v>
      </c>
      <c r="AB210" s="91">
        <v>-149</v>
      </c>
      <c r="AC210" s="91">
        <v>-149</v>
      </c>
      <c r="AD210" s="91">
        <v>-149</v>
      </c>
      <c r="AE210" s="91">
        <v>-149</v>
      </c>
      <c r="AF210" s="91">
        <v>-149</v>
      </c>
      <c r="AG210" s="91">
        <v>-577</v>
      </c>
      <c r="AH210" s="84">
        <v>9.9</v>
      </c>
      <c r="AI210" s="97">
        <f t="shared" si="3"/>
        <v>3448</v>
      </c>
    </row>
    <row r="211" spans="1:35">
      <c r="A211" s="55" t="s">
        <v>376</v>
      </c>
      <c r="B211" s="91">
        <v>0</v>
      </c>
      <c r="C211" s="91">
        <v>0</v>
      </c>
      <c r="D211" s="91">
        <v>0</v>
      </c>
      <c r="E211" s="90">
        <v>0</v>
      </c>
      <c r="F211" s="91">
        <v>0</v>
      </c>
      <c r="G211" s="91">
        <v>0</v>
      </c>
      <c r="H211" s="91">
        <v>0</v>
      </c>
      <c r="I211" s="91">
        <v>0</v>
      </c>
      <c r="J211" s="91">
        <v>0</v>
      </c>
      <c r="K211" s="91">
        <v>0</v>
      </c>
      <c r="L211" s="91">
        <v>0</v>
      </c>
      <c r="M211" s="91">
        <v>0</v>
      </c>
      <c r="N211" s="91">
        <v>0</v>
      </c>
      <c r="O211" s="91">
        <v>0</v>
      </c>
      <c r="P211" s="91">
        <v>0</v>
      </c>
      <c r="Q211" s="91">
        <v>0</v>
      </c>
      <c r="R211" s="91">
        <v>0</v>
      </c>
      <c r="S211" s="91">
        <v>0</v>
      </c>
      <c r="T211" s="91">
        <v>0</v>
      </c>
      <c r="U211" s="91">
        <v>0</v>
      </c>
      <c r="V211" s="202">
        <v>0</v>
      </c>
      <c r="W211" s="91">
        <v>0</v>
      </c>
      <c r="X211" s="91">
        <v>0</v>
      </c>
      <c r="Y211" s="91">
        <v>0</v>
      </c>
      <c r="Z211" s="91">
        <v>0</v>
      </c>
      <c r="AA211" s="91">
        <v>0</v>
      </c>
      <c r="AB211" s="91">
        <v>0</v>
      </c>
      <c r="AC211" s="91">
        <v>0</v>
      </c>
      <c r="AD211" s="91">
        <v>0</v>
      </c>
      <c r="AE211" s="91">
        <v>0</v>
      </c>
      <c r="AF211" s="91">
        <v>0</v>
      </c>
      <c r="AG211" s="91">
        <v>0</v>
      </c>
      <c r="AH211" s="84">
        <v>1</v>
      </c>
      <c r="AI211" s="97">
        <f t="shared" si="3"/>
        <v>0</v>
      </c>
    </row>
    <row r="212" spans="1:35">
      <c r="A212" s="55" t="s">
        <v>377</v>
      </c>
      <c r="B212" s="91">
        <v>0</v>
      </c>
      <c r="C212" s="91">
        <v>0</v>
      </c>
      <c r="D212" s="91">
        <v>0</v>
      </c>
      <c r="E212" s="90">
        <v>0</v>
      </c>
      <c r="F212" s="91">
        <v>0</v>
      </c>
      <c r="G212" s="91">
        <v>0</v>
      </c>
      <c r="H212" s="91">
        <v>0</v>
      </c>
      <c r="I212" s="91">
        <v>0</v>
      </c>
      <c r="J212" s="91">
        <v>0</v>
      </c>
      <c r="K212" s="91">
        <v>0</v>
      </c>
      <c r="L212" s="91">
        <v>0</v>
      </c>
      <c r="M212" s="91">
        <v>0</v>
      </c>
      <c r="N212" s="91">
        <v>0</v>
      </c>
      <c r="O212" s="91">
        <v>0</v>
      </c>
      <c r="P212" s="91">
        <v>0</v>
      </c>
      <c r="Q212" s="91">
        <v>0</v>
      </c>
      <c r="R212" s="91">
        <v>0</v>
      </c>
      <c r="S212" s="91">
        <v>0</v>
      </c>
      <c r="T212" s="91">
        <v>0</v>
      </c>
      <c r="U212" s="91">
        <v>0</v>
      </c>
      <c r="V212" s="202">
        <v>0</v>
      </c>
      <c r="W212" s="91">
        <v>0</v>
      </c>
      <c r="X212" s="91">
        <v>0</v>
      </c>
      <c r="Y212" s="91">
        <v>0</v>
      </c>
      <c r="Z212" s="91">
        <v>0</v>
      </c>
      <c r="AA212" s="91">
        <v>0</v>
      </c>
      <c r="AB212" s="91">
        <v>0</v>
      </c>
      <c r="AC212" s="91">
        <v>0</v>
      </c>
      <c r="AD212" s="91">
        <v>0</v>
      </c>
      <c r="AE212" s="91">
        <v>0</v>
      </c>
      <c r="AF212" s="91">
        <v>0</v>
      </c>
      <c r="AG212" s="91">
        <v>0</v>
      </c>
      <c r="AH212" s="84">
        <v>1</v>
      </c>
      <c r="AI212" s="97">
        <f t="shared" si="3"/>
        <v>0</v>
      </c>
    </row>
    <row r="213" spans="1:35">
      <c r="A213" s="55" t="s">
        <v>378</v>
      </c>
      <c r="B213" s="91">
        <v>0</v>
      </c>
      <c r="C213" s="91">
        <v>0</v>
      </c>
      <c r="D213" s="91">
        <v>16</v>
      </c>
      <c r="E213" s="90">
        <v>17</v>
      </c>
      <c r="F213" s="91">
        <v>5717</v>
      </c>
      <c r="G213" s="91">
        <v>5439</v>
      </c>
      <c r="H213" s="91">
        <v>595</v>
      </c>
      <c r="I213" s="91">
        <v>0</v>
      </c>
      <c r="J213" s="91">
        <v>-317</v>
      </c>
      <c r="K213" s="91">
        <v>6269</v>
      </c>
      <c r="L213" s="91">
        <v>5188</v>
      </c>
      <c r="M213" s="91">
        <v>4838</v>
      </c>
      <c r="N213" s="91">
        <v>6723</v>
      </c>
      <c r="O213" s="91">
        <v>456</v>
      </c>
      <c r="P213" s="91">
        <v>172</v>
      </c>
      <c r="Q213" s="91">
        <v>0</v>
      </c>
      <c r="R213" s="91">
        <v>0</v>
      </c>
      <c r="S213" s="91">
        <v>-350</v>
      </c>
      <c r="T213" s="91">
        <v>0</v>
      </c>
      <c r="U213" s="91">
        <v>0</v>
      </c>
      <c r="V213" s="202">
        <v>0</v>
      </c>
      <c r="W213" s="91">
        <v>-33</v>
      </c>
      <c r="X213" s="91">
        <v>0</v>
      </c>
      <c r="Y213" s="91">
        <v>317</v>
      </c>
      <c r="Z213" s="91">
        <v>0</v>
      </c>
      <c r="AA213" s="91">
        <v>0</v>
      </c>
      <c r="AB213" s="91">
        <v>-33</v>
      </c>
      <c r="AC213" s="91">
        <v>-33</v>
      </c>
      <c r="AD213" s="91">
        <v>-33</v>
      </c>
      <c r="AE213" s="91">
        <v>-33</v>
      </c>
      <c r="AF213" s="91">
        <v>-33</v>
      </c>
      <c r="AG213" s="91">
        <v>-152</v>
      </c>
      <c r="AH213" s="84">
        <v>10.6</v>
      </c>
      <c r="AI213" s="97">
        <f t="shared" si="3"/>
        <v>278</v>
      </c>
    </row>
    <row r="214" spans="1:35">
      <c r="A214" s="55" t="s">
        <v>379</v>
      </c>
      <c r="B214" s="91">
        <v>0</v>
      </c>
      <c r="C214" s="91">
        <v>0</v>
      </c>
      <c r="D214" s="91">
        <v>8</v>
      </c>
      <c r="E214" s="90">
        <v>8</v>
      </c>
      <c r="F214" s="91">
        <v>19790</v>
      </c>
      <c r="G214" s="91">
        <v>18897</v>
      </c>
      <c r="H214" s="91">
        <v>2169</v>
      </c>
      <c r="I214" s="91">
        <v>73.930000000000007</v>
      </c>
      <c r="J214" s="91">
        <v>-1276</v>
      </c>
      <c r="K214" s="91">
        <v>21983</v>
      </c>
      <c r="L214" s="91">
        <v>17715</v>
      </c>
      <c r="M214" s="91">
        <v>16719</v>
      </c>
      <c r="N214" s="91">
        <v>23534</v>
      </c>
      <c r="O214" s="91">
        <v>1709</v>
      </c>
      <c r="P214" s="91">
        <v>602</v>
      </c>
      <c r="Q214" s="91">
        <v>0</v>
      </c>
      <c r="R214" s="91">
        <v>0</v>
      </c>
      <c r="S214" s="91">
        <v>-1418</v>
      </c>
      <c r="T214" s="91">
        <v>0</v>
      </c>
      <c r="U214" s="91">
        <v>0</v>
      </c>
      <c r="V214" s="202">
        <v>0</v>
      </c>
      <c r="W214" s="91">
        <v>-142</v>
      </c>
      <c r="X214" s="91">
        <v>0</v>
      </c>
      <c r="Y214" s="91">
        <v>1276</v>
      </c>
      <c r="Z214" s="91">
        <v>0</v>
      </c>
      <c r="AA214" s="91">
        <v>0</v>
      </c>
      <c r="AB214" s="91">
        <v>-142</v>
      </c>
      <c r="AC214" s="91">
        <v>-142</v>
      </c>
      <c r="AD214" s="91">
        <v>-142</v>
      </c>
      <c r="AE214" s="91">
        <v>-142</v>
      </c>
      <c r="AF214" s="91">
        <v>-142</v>
      </c>
      <c r="AG214" s="91">
        <v>-566</v>
      </c>
      <c r="AH214" s="84">
        <v>10</v>
      </c>
      <c r="AI214" s="97">
        <f t="shared" si="3"/>
        <v>893</v>
      </c>
    </row>
    <row r="215" spans="1:35">
      <c r="A215" s="55" t="s">
        <v>380</v>
      </c>
      <c r="B215" s="91">
        <v>4</v>
      </c>
      <c r="C215" s="91">
        <v>0</v>
      </c>
      <c r="D215" s="91">
        <v>155</v>
      </c>
      <c r="E215" s="90">
        <v>171</v>
      </c>
      <c r="F215" s="91">
        <v>475800</v>
      </c>
      <c r="G215" s="91">
        <v>465359</v>
      </c>
      <c r="H215" s="91">
        <v>45831</v>
      </c>
      <c r="I215" s="91">
        <v>16137.050000000017</v>
      </c>
      <c r="J215" s="91">
        <v>-22168</v>
      </c>
      <c r="K215" s="91">
        <v>515258</v>
      </c>
      <c r="L215" s="91">
        <v>438852</v>
      </c>
      <c r="M215" s="91">
        <v>419893</v>
      </c>
      <c r="N215" s="91">
        <v>542377</v>
      </c>
      <c r="O215" s="91">
        <v>34111</v>
      </c>
      <c r="P215" s="91">
        <v>14391</v>
      </c>
      <c r="Q215" s="91">
        <v>0</v>
      </c>
      <c r="R215" s="91">
        <v>0</v>
      </c>
      <c r="S215" s="91">
        <v>-24839</v>
      </c>
      <c r="T215" s="91">
        <v>13222</v>
      </c>
      <c r="U215" s="91">
        <v>0</v>
      </c>
      <c r="V215" s="202">
        <v>0</v>
      </c>
      <c r="W215" s="91">
        <v>-2671</v>
      </c>
      <c r="X215" s="91">
        <v>0</v>
      </c>
      <c r="Y215" s="91">
        <v>22168</v>
      </c>
      <c r="Z215" s="91">
        <v>0</v>
      </c>
      <c r="AA215" s="91">
        <v>0</v>
      </c>
      <c r="AB215" s="91">
        <v>-2671</v>
      </c>
      <c r="AC215" s="91">
        <v>-2671</v>
      </c>
      <c r="AD215" s="91">
        <v>-2671</v>
      </c>
      <c r="AE215" s="91">
        <v>-2671</v>
      </c>
      <c r="AF215" s="91">
        <v>-2671</v>
      </c>
      <c r="AG215" s="91">
        <v>-8813</v>
      </c>
      <c r="AH215" s="84">
        <v>9.3000000000000007</v>
      </c>
      <c r="AI215" s="97">
        <f t="shared" si="3"/>
        <v>10441</v>
      </c>
    </row>
    <row r="216" spans="1:35">
      <c r="A216" s="55" t="s">
        <v>381</v>
      </c>
      <c r="B216" s="91">
        <v>0</v>
      </c>
      <c r="C216" s="91">
        <v>0</v>
      </c>
      <c r="D216" s="91">
        <v>21</v>
      </c>
      <c r="E216" s="90">
        <v>23</v>
      </c>
      <c r="F216" s="91">
        <v>105933</v>
      </c>
      <c r="G216" s="91">
        <v>102572</v>
      </c>
      <c r="H216" s="91">
        <v>8775</v>
      </c>
      <c r="I216" s="91">
        <v>387.02000000000021</v>
      </c>
      <c r="J216" s="91">
        <v>-5414</v>
      </c>
      <c r="K216" s="91">
        <v>115674</v>
      </c>
      <c r="L216" s="91">
        <v>96708</v>
      </c>
      <c r="M216" s="91">
        <v>91994</v>
      </c>
      <c r="N216" s="91">
        <v>122672</v>
      </c>
      <c r="O216" s="91">
        <v>6281</v>
      </c>
      <c r="P216" s="91">
        <v>3179</v>
      </c>
      <c r="Q216" s="91">
        <v>0</v>
      </c>
      <c r="R216" s="91">
        <v>0</v>
      </c>
      <c r="S216" s="91">
        <v>-6099</v>
      </c>
      <c r="T216" s="91">
        <v>0</v>
      </c>
      <c r="U216" s="91">
        <v>0</v>
      </c>
      <c r="V216" s="202">
        <v>0</v>
      </c>
      <c r="W216" s="91">
        <v>-685</v>
      </c>
      <c r="X216" s="91">
        <v>0</v>
      </c>
      <c r="Y216" s="91">
        <v>5414</v>
      </c>
      <c r="Z216" s="91">
        <v>0</v>
      </c>
      <c r="AA216" s="91">
        <v>0</v>
      </c>
      <c r="AB216" s="91">
        <v>-685</v>
      </c>
      <c r="AC216" s="91">
        <v>-685</v>
      </c>
      <c r="AD216" s="91">
        <v>-685</v>
      </c>
      <c r="AE216" s="91">
        <v>-685</v>
      </c>
      <c r="AF216" s="91">
        <v>-685</v>
      </c>
      <c r="AG216" s="91">
        <v>-1989</v>
      </c>
      <c r="AH216" s="84">
        <v>8.9</v>
      </c>
      <c r="AI216" s="97">
        <f t="shared" si="3"/>
        <v>3361</v>
      </c>
    </row>
    <row r="217" spans="1:35">
      <c r="A217" s="55" t="s">
        <v>382</v>
      </c>
      <c r="B217" s="91">
        <v>0</v>
      </c>
      <c r="C217" s="91">
        <v>0</v>
      </c>
      <c r="D217" s="91">
        <v>1</v>
      </c>
      <c r="E217" s="90">
        <v>1</v>
      </c>
      <c r="F217" s="91">
        <v>5329</v>
      </c>
      <c r="G217" s="91">
        <v>5223</v>
      </c>
      <c r="H217" s="91">
        <v>438</v>
      </c>
      <c r="I217" s="91">
        <v>0</v>
      </c>
      <c r="J217" s="91">
        <v>-332</v>
      </c>
      <c r="K217" s="91">
        <v>5903</v>
      </c>
      <c r="L217" s="91">
        <v>4791</v>
      </c>
      <c r="M217" s="91">
        <v>4482</v>
      </c>
      <c r="N217" s="91">
        <v>6359</v>
      </c>
      <c r="O217" s="91">
        <v>304</v>
      </c>
      <c r="P217" s="91">
        <v>161</v>
      </c>
      <c r="Q217" s="91">
        <v>0</v>
      </c>
      <c r="R217" s="91">
        <v>0</v>
      </c>
      <c r="S217" s="91">
        <v>-359</v>
      </c>
      <c r="T217" s="91">
        <v>0</v>
      </c>
      <c r="U217" s="91">
        <v>0</v>
      </c>
      <c r="V217" s="202">
        <v>0</v>
      </c>
      <c r="W217" s="91">
        <v>-27</v>
      </c>
      <c r="X217" s="91">
        <v>0</v>
      </c>
      <c r="Y217" s="91">
        <v>332</v>
      </c>
      <c r="Z217" s="91">
        <v>0</v>
      </c>
      <c r="AA217" s="91">
        <v>0</v>
      </c>
      <c r="AB217" s="91">
        <v>-27</v>
      </c>
      <c r="AC217" s="91">
        <v>-27</v>
      </c>
      <c r="AD217" s="91">
        <v>-27</v>
      </c>
      <c r="AE217" s="91">
        <v>-27</v>
      </c>
      <c r="AF217" s="91">
        <v>-27</v>
      </c>
      <c r="AG217" s="91">
        <v>-197</v>
      </c>
      <c r="AH217" s="84">
        <v>13.1</v>
      </c>
      <c r="AI217" s="97">
        <f t="shared" si="3"/>
        <v>106</v>
      </c>
    </row>
    <row r="218" spans="1:35">
      <c r="A218" s="55" t="s">
        <v>383</v>
      </c>
      <c r="B218" s="91">
        <v>0</v>
      </c>
      <c r="C218" s="91">
        <v>0</v>
      </c>
      <c r="D218" s="91">
        <v>0</v>
      </c>
      <c r="E218" s="90">
        <v>0</v>
      </c>
      <c r="F218" s="91">
        <v>0</v>
      </c>
      <c r="G218" s="91">
        <v>0</v>
      </c>
      <c r="H218" s="91">
        <v>0</v>
      </c>
      <c r="I218" s="91">
        <v>0</v>
      </c>
      <c r="J218" s="91">
        <v>0</v>
      </c>
      <c r="K218" s="91">
        <v>0</v>
      </c>
      <c r="L218" s="91">
        <v>0</v>
      </c>
      <c r="M218" s="91">
        <v>0</v>
      </c>
      <c r="N218" s="91">
        <v>0</v>
      </c>
      <c r="O218" s="91">
        <v>0</v>
      </c>
      <c r="P218" s="91">
        <v>0</v>
      </c>
      <c r="Q218" s="91">
        <v>0</v>
      </c>
      <c r="R218" s="91">
        <v>0</v>
      </c>
      <c r="S218" s="91">
        <v>0</v>
      </c>
      <c r="T218" s="91">
        <v>0</v>
      </c>
      <c r="U218" s="91">
        <v>0</v>
      </c>
      <c r="V218" s="202">
        <v>0</v>
      </c>
      <c r="W218" s="91">
        <v>0</v>
      </c>
      <c r="X218" s="91">
        <v>0</v>
      </c>
      <c r="Y218" s="91">
        <v>0</v>
      </c>
      <c r="Z218" s="91">
        <v>0</v>
      </c>
      <c r="AA218" s="91">
        <v>0</v>
      </c>
      <c r="AB218" s="91">
        <v>0</v>
      </c>
      <c r="AC218" s="91">
        <v>0</v>
      </c>
      <c r="AD218" s="91">
        <v>0</v>
      </c>
      <c r="AE218" s="91">
        <v>0</v>
      </c>
      <c r="AF218" s="91">
        <v>0</v>
      </c>
      <c r="AG218" s="91">
        <v>0</v>
      </c>
      <c r="AH218" s="84">
        <v>1</v>
      </c>
      <c r="AI218" s="97">
        <f t="shared" si="3"/>
        <v>0</v>
      </c>
    </row>
    <row r="219" spans="1:35">
      <c r="A219" s="55" t="s">
        <v>384</v>
      </c>
      <c r="B219" s="91">
        <v>0</v>
      </c>
      <c r="C219" s="91">
        <v>0</v>
      </c>
      <c r="D219" s="91">
        <v>0</v>
      </c>
      <c r="E219" s="90">
        <v>0</v>
      </c>
      <c r="F219" s="91">
        <v>0</v>
      </c>
      <c r="G219" s="91">
        <v>0</v>
      </c>
      <c r="H219" s="91">
        <v>0</v>
      </c>
      <c r="I219" s="91">
        <v>0</v>
      </c>
      <c r="J219" s="91">
        <v>0</v>
      </c>
      <c r="K219" s="91">
        <v>0</v>
      </c>
      <c r="L219" s="91">
        <v>0</v>
      </c>
      <c r="M219" s="91">
        <v>0</v>
      </c>
      <c r="N219" s="91">
        <v>0</v>
      </c>
      <c r="O219" s="91">
        <v>0</v>
      </c>
      <c r="P219" s="91">
        <v>0</v>
      </c>
      <c r="Q219" s="91">
        <v>0</v>
      </c>
      <c r="R219" s="91">
        <v>0</v>
      </c>
      <c r="S219" s="91">
        <v>0</v>
      </c>
      <c r="T219" s="91">
        <v>0</v>
      </c>
      <c r="U219" s="91">
        <v>0</v>
      </c>
      <c r="V219" s="202">
        <v>0</v>
      </c>
      <c r="W219" s="91">
        <v>0</v>
      </c>
      <c r="X219" s="91">
        <v>0</v>
      </c>
      <c r="Y219" s="91">
        <v>0</v>
      </c>
      <c r="Z219" s="91">
        <v>0</v>
      </c>
      <c r="AA219" s="91">
        <v>0</v>
      </c>
      <c r="AB219" s="91">
        <v>0</v>
      </c>
      <c r="AC219" s="91">
        <v>0</v>
      </c>
      <c r="AD219" s="91">
        <v>0</v>
      </c>
      <c r="AE219" s="91">
        <v>0</v>
      </c>
      <c r="AF219" s="91">
        <v>0</v>
      </c>
      <c r="AG219" s="91">
        <v>0</v>
      </c>
      <c r="AH219" s="84">
        <v>1</v>
      </c>
      <c r="AI219" s="97">
        <f t="shared" si="3"/>
        <v>0</v>
      </c>
    </row>
    <row r="220" spans="1:35">
      <c r="A220" s="55" t="s">
        <v>385</v>
      </c>
      <c r="B220" s="91">
        <v>0</v>
      </c>
      <c r="C220" s="91">
        <v>0</v>
      </c>
      <c r="D220" s="91">
        <v>258</v>
      </c>
      <c r="E220" s="90">
        <v>289</v>
      </c>
      <c r="F220" s="91">
        <v>67036</v>
      </c>
      <c r="G220" s="91">
        <v>53403</v>
      </c>
      <c r="H220" s="91">
        <v>15986</v>
      </c>
      <c r="I220" s="91">
        <v>973.54999999999973</v>
      </c>
      <c r="J220" s="91">
        <v>-2353</v>
      </c>
      <c r="K220" s="91">
        <v>71137</v>
      </c>
      <c r="L220" s="91">
        <v>63097</v>
      </c>
      <c r="M220" s="91">
        <v>59996</v>
      </c>
      <c r="N220" s="91">
        <v>75069</v>
      </c>
      <c r="O220" s="91">
        <v>14281</v>
      </c>
      <c r="P220" s="91">
        <v>1976</v>
      </c>
      <c r="Q220" s="91">
        <v>0</v>
      </c>
      <c r="R220" s="91">
        <v>0</v>
      </c>
      <c r="S220" s="91">
        <v>-2624</v>
      </c>
      <c r="T220" s="91">
        <v>0</v>
      </c>
      <c r="U220" s="91">
        <v>0</v>
      </c>
      <c r="V220" s="202">
        <v>0</v>
      </c>
      <c r="W220" s="91">
        <v>-271</v>
      </c>
      <c r="X220" s="91">
        <v>0</v>
      </c>
      <c r="Y220" s="91">
        <v>2353</v>
      </c>
      <c r="Z220" s="91">
        <v>0</v>
      </c>
      <c r="AA220" s="91">
        <v>0</v>
      </c>
      <c r="AB220" s="91">
        <v>-271</v>
      </c>
      <c r="AC220" s="91">
        <v>-271</v>
      </c>
      <c r="AD220" s="91">
        <v>-271</v>
      </c>
      <c r="AE220" s="91">
        <v>-271</v>
      </c>
      <c r="AF220" s="91">
        <v>-271</v>
      </c>
      <c r="AG220" s="91">
        <v>-998</v>
      </c>
      <c r="AH220" s="84">
        <v>9.6999999999999993</v>
      </c>
      <c r="AI220" s="97">
        <f t="shared" si="3"/>
        <v>13633</v>
      </c>
    </row>
    <row r="221" spans="1:35">
      <c r="A221" s="55" t="s">
        <v>386</v>
      </c>
      <c r="B221" s="91">
        <v>0</v>
      </c>
      <c r="C221" s="91">
        <v>0</v>
      </c>
      <c r="D221" s="91">
        <v>4</v>
      </c>
      <c r="E221" s="90">
        <v>5</v>
      </c>
      <c r="F221" s="91">
        <v>3664</v>
      </c>
      <c r="G221" s="91">
        <v>3317</v>
      </c>
      <c r="H221" s="91">
        <v>564</v>
      </c>
      <c r="I221" s="91">
        <v>0</v>
      </c>
      <c r="J221" s="91">
        <v>-217</v>
      </c>
      <c r="K221" s="91">
        <v>4011</v>
      </c>
      <c r="L221" s="91">
        <v>3336</v>
      </c>
      <c r="M221" s="91">
        <v>3082</v>
      </c>
      <c r="N221" s="91">
        <v>4387</v>
      </c>
      <c r="O221" s="91">
        <v>476</v>
      </c>
      <c r="P221" s="91">
        <v>111</v>
      </c>
      <c r="Q221" s="91">
        <v>0</v>
      </c>
      <c r="R221" s="91">
        <v>0</v>
      </c>
      <c r="S221" s="91">
        <v>-240</v>
      </c>
      <c r="T221" s="91">
        <v>0</v>
      </c>
      <c r="U221" s="91">
        <v>0</v>
      </c>
      <c r="V221" s="202">
        <v>0</v>
      </c>
      <c r="W221" s="91">
        <v>-23</v>
      </c>
      <c r="X221" s="91">
        <v>0</v>
      </c>
      <c r="Y221" s="91">
        <v>217</v>
      </c>
      <c r="Z221" s="91">
        <v>0</v>
      </c>
      <c r="AA221" s="91">
        <v>0</v>
      </c>
      <c r="AB221" s="91">
        <v>-23</v>
      </c>
      <c r="AC221" s="91">
        <v>-23</v>
      </c>
      <c r="AD221" s="91">
        <v>-23</v>
      </c>
      <c r="AE221" s="91">
        <v>-23</v>
      </c>
      <c r="AF221" s="91">
        <v>-23</v>
      </c>
      <c r="AG221" s="91">
        <v>-102</v>
      </c>
      <c r="AH221" s="84">
        <v>10.4</v>
      </c>
      <c r="AI221" s="97">
        <f t="shared" si="3"/>
        <v>347</v>
      </c>
    </row>
    <row r="222" spans="1:35" ht="22.5">
      <c r="A222" s="55" t="s">
        <v>387</v>
      </c>
      <c r="B222" s="91">
        <v>0</v>
      </c>
      <c r="C222" s="91">
        <v>0</v>
      </c>
      <c r="D222" s="91">
        <v>0</v>
      </c>
      <c r="E222" s="90">
        <v>0</v>
      </c>
      <c r="F222" s="91">
        <v>0</v>
      </c>
      <c r="G222" s="91">
        <v>0</v>
      </c>
      <c r="H222" s="91">
        <v>0</v>
      </c>
      <c r="I222" s="91">
        <v>0</v>
      </c>
      <c r="J222" s="91">
        <v>0</v>
      </c>
      <c r="K222" s="91">
        <v>0</v>
      </c>
      <c r="L222" s="91">
        <v>0</v>
      </c>
      <c r="M222" s="91">
        <v>0</v>
      </c>
      <c r="N222" s="91">
        <v>0</v>
      </c>
      <c r="O222" s="91">
        <v>0</v>
      </c>
      <c r="P222" s="91">
        <v>0</v>
      </c>
      <c r="Q222" s="91">
        <v>0</v>
      </c>
      <c r="R222" s="91">
        <v>0</v>
      </c>
      <c r="S222" s="91">
        <v>0</v>
      </c>
      <c r="T222" s="91">
        <v>0</v>
      </c>
      <c r="U222" s="91">
        <v>0</v>
      </c>
      <c r="V222" s="202">
        <v>0</v>
      </c>
      <c r="W222" s="91">
        <v>0</v>
      </c>
      <c r="X222" s="91">
        <v>0</v>
      </c>
      <c r="Y222" s="91">
        <v>0</v>
      </c>
      <c r="Z222" s="91">
        <v>0</v>
      </c>
      <c r="AA222" s="91">
        <v>0</v>
      </c>
      <c r="AB222" s="91">
        <v>0</v>
      </c>
      <c r="AC222" s="91">
        <v>0</v>
      </c>
      <c r="AD222" s="91">
        <v>0</v>
      </c>
      <c r="AE222" s="91">
        <v>0</v>
      </c>
      <c r="AF222" s="91">
        <v>0</v>
      </c>
      <c r="AG222" s="91">
        <v>0</v>
      </c>
      <c r="AH222" s="84">
        <v>1</v>
      </c>
      <c r="AI222" s="97">
        <f t="shared" si="3"/>
        <v>0</v>
      </c>
    </row>
    <row r="223" spans="1:35">
      <c r="A223" s="55" t="s">
        <v>388</v>
      </c>
      <c r="B223" s="91">
        <v>0</v>
      </c>
      <c r="C223" s="91">
        <v>0</v>
      </c>
      <c r="D223" s="91">
        <v>0</v>
      </c>
      <c r="E223" s="90">
        <v>0</v>
      </c>
      <c r="F223" s="91">
        <v>0</v>
      </c>
      <c r="G223" s="91">
        <v>0</v>
      </c>
      <c r="H223" s="91">
        <v>0</v>
      </c>
      <c r="I223" s="91">
        <v>0</v>
      </c>
      <c r="J223" s="91">
        <v>0</v>
      </c>
      <c r="K223" s="91">
        <v>0</v>
      </c>
      <c r="L223" s="91">
        <v>0</v>
      </c>
      <c r="M223" s="91">
        <v>0</v>
      </c>
      <c r="N223" s="91">
        <v>0</v>
      </c>
      <c r="O223" s="91">
        <v>0</v>
      </c>
      <c r="P223" s="91">
        <v>0</v>
      </c>
      <c r="Q223" s="91">
        <v>0</v>
      </c>
      <c r="R223" s="91">
        <v>0</v>
      </c>
      <c r="S223" s="91">
        <v>0</v>
      </c>
      <c r="T223" s="91">
        <v>0</v>
      </c>
      <c r="U223" s="91">
        <v>0</v>
      </c>
      <c r="V223" s="202">
        <v>0</v>
      </c>
      <c r="W223" s="91">
        <v>0</v>
      </c>
      <c r="X223" s="91">
        <v>0</v>
      </c>
      <c r="Y223" s="91">
        <v>0</v>
      </c>
      <c r="Z223" s="91">
        <v>0</v>
      </c>
      <c r="AA223" s="91">
        <v>0</v>
      </c>
      <c r="AB223" s="91">
        <v>0</v>
      </c>
      <c r="AC223" s="91">
        <v>0</v>
      </c>
      <c r="AD223" s="91">
        <v>0</v>
      </c>
      <c r="AE223" s="91">
        <v>0</v>
      </c>
      <c r="AF223" s="91">
        <v>0</v>
      </c>
      <c r="AG223" s="91">
        <v>0</v>
      </c>
      <c r="AH223" s="84">
        <v>1</v>
      </c>
      <c r="AI223" s="97">
        <f t="shared" si="3"/>
        <v>0</v>
      </c>
    </row>
    <row r="224" spans="1:35">
      <c r="A224" s="55" t="s">
        <v>389</v>
      </c>
      <c r="B224" s="91">
        <v>0</v>
      </c>
      <c r="C224" s="91">
        <v>0</v>
      </c>
      <c r="D224" s="91">
        <v>0</v>
      </c>
      <c r="E224" s="90">
        <v>0</v>
      </c>
      <c r="F224" s="91">
        <v>0</v>
      </c>
      <c r="G224" s="91">
        <v>0</v>
      </c>
      <c r="H224" s="91">
        <v>0</v>
      </c>
      <c r="I224" s="91">
        <v>0</v>
      </c>
      <c r="J224" s="91">
        <v>0</v>
      </c>
      <c r="K224" s="91">
        <v>0</v>
      </c>
      <c r="L224" s="91">
        <v>0</v>
      </c>
      <c r="M224" s="91">
        <v>0</v>
      </c>
      <c r="N224" s="91">
        <v>0</v>
      </c>
      <c r="O224" s="91">
        <v>0</v>
      </c>
      <c r="P224" s="91">
        <v>0</v>
      </c>
      <c r="Q224" s="91">
        <v>0</v>
      </c>
      <c r="R224" s="91">
        <v>0</v>
      </c>
      <c r="S224" s="91">
        <v>0</v>
      </c>
      <c r="T224" s="91">
        <v>0</v>
      </c>
      <c r="U224" s="91">
        <v>0</v>
      </c>
      <c r="V224" s="202">
        <v>0</v>
      </c>
      <c r="W224" s="91">
        <v>0</v>
      </c>
      <c r="X224" s="91">
        <v>0</v>
      </c>
      <c r="Y224" s="91">
        <v>0</v>
      </c>
      <c r="Z224" s="91">
        <v>0</v>
      </c>
      <c r="AA224" s="91">
        <v>0</v>
      </c>
      <c r="AB224" s="91">
        <v>0</v>
      </c>
      <c r="AC224" s="91">
        <v>0</v>
      </c>
      <c r="AD224" s="91">
        <v>0</v>
      </c>
      <c r="AE224" s="91">
        <v>0</v>
      </c>
      <c r="AF224" s="91">
        <v>0</v>
      </c>
      <c r="AG224" s="91">
        <v>0</v>
      </c>
      <c r="AH224" s="84">
        <v>1</v>
      </c>
      <c r="AI224" s="97">
        <f t="shared" si="3"/>
        <v>0</v>
      </c>
    </row>
    <row r="225" spans="1:35">
      <c r="A225" s="55" t="s">
        <v>390</v>
      </c>
      <c r="B225" s="91">
        <v>0</v>
      </c>
      <c r="C225" s="91">
        <v>0</v>
      </c>
      <c r="D225" s="91">
        <v>0</v>
      </c>
      <c r="E225" s="90">
        <v>0</v>
      </c>
      <c r="F225" s="91">
        <v>0</v>
      </c>
      <c r="G225" s="91">
        <v>0</v>
      </c>
      <c r="H225" s="91">
        <v>0</v>
      </c>
      <c r="I225" s="91">
        <v>0</v>
      </c>
      <c r="J225" s="91">
        <v>0</v>
      </c>
      <c r="K225" s="91">
        <v>0</v>
      </c>
      <c r="L225" s="91">
        <v>0</v>
      </c>
      <c r="M225" s="91">
        <v>0</v>
      </c>
      <c r="N225" s="91">
        <v>0</v>
      </c>
      <c r="O225" s="91">
        <v>0</v>
      </c>
      <c r="P225" s="91">
        <v>0</v>
      </c>
      <c r="Q225" s="91">
        <v>0</v>
      </c>
      <c r="R225" s="91">
        <v>0</v>
      </c>
      <c r="S225" s="91">
        <v>0</v>
      </c>
      <c r="T225" s="91">
        <v>0</v>
      </c>
      <c r="U225" s="91">
        <v>0</v>
      </c>
      <c r="V225" s="202">
        <v>0</v>
      </c>
      <c r="W225" s="91">
        <v>0</v>
      </c>
      <c r="X225" s="91">
        <v>0</v>
      </c>
      <c r="Y225" s="91">
        <v>0</v>
      </c>
      <c r="Z225" s="91">
        <v>0</v>
      </c>
      <c r="AA225" s="91">
        <v>0</v>
      </c>
      <c r="AB225" s="91">
        <v>0</v>
      </c>
      <c r="AC225" s="91">
        <v>0</v>
      </c>
      <c r="AD225" s="91">
        <v>0</v>
      </c>
      <c r="AE225" s="91">
        <v>0</v>
      </c>
      <c r="AF225" s="91">
        <v>0</v>
      </c>
      <c r="AG225" s="91">
        <v>0</v>
      </c>
      <c r="AH225" s="84">
        <v>1</v>
      </c>
      <c r="AI225" s="97">
        <f t="shared" si="3"/>
        <v>0</v>
      </c>
    </row>
    <row r="226" spans="1:35">
      <c r="A226" s="55" t="s">
        <v>391</v>
      </c>
      <c r="B226" s="91">
        <v>0</v>
      </c>
      <c r="C226" s="91">
        <v>0</v>
      </c>
      <c r="D226" s="91">
        <v>1</v>
      </c>
      <c r="E226" s="90">
        <v>3</v>
      </c>
      <c r="F226" s="91">
        <v>9937</v>
      </c>
      <c r="G226" s="91">
        <v>9757</v>
      </c>
      <c r="H226" s="91">
        <v>616</v>
      </c>
      <c r="I226" s="91">
        <v>0</v>
      </c>
      <c r="J226" s="91">
        <v>-436</v>
      </c>
      <c r="K226" s="91">
        <v>10727</v>
      </c>
      <c r="L226" s="91">
        <v>9153</v>
      </c>
      <c r="M226" s="91">
        <v>8767</v>
      </c>
      <c r="N226" s="91">
        <v>11244</v>
      </c>
      <c r="O226" s="91">
        <v>381</v>
      </c>
      <c r="P226" s="91">
        <v>296</v>
      </c>
      <c r="Q226" s="91">
        <v>0</v>
      </c>
      <c r="R226" s="91">
        <v>0</v>
      </c>
      <c r="S226" s="91">
        <v>-497</v>
      </c>
      <c r="T226" s="91">
        <v>0</v>
      </c>
      <c r="U226" s="91">
        <v>0</v>
      </c>
      <c r="V226" s="202">
        <v>0</v>
      </c>
      <c r="W226" s="91">
        <v>-61</v>
      </c>
      <c r="X226" s="91">
        <v>0</v>
      </c>
      <c r="Y226" s="91">
        <v>436</v>
      </c>
      <c r="Z226" s="91">
        <v>0</v>
      </c>
      <c r="AA226" s="91">
        <v>0</v>
      </c>
      <c r="AB226" s="91">
        <v>-61</v>
      </c>
      <c r="AC226" s="91">
        <v>-61</v>
      </c>
      <c r="AD226" s="91">
        <v>-61</v>
      </c>
      <c r="AE226" s="91">
        <v>-61</v>
      </c>
      <c r="AF226" s="91">
        <v>-61</v>
      </c>
      <c r="AG226" s="91">
        <v>-131</v>
      </c>
      <c r="AH226" s="84">
        <v>8.1</v>
      </c>
      <c r="AI226" s="97">
        <f t="shared" si="3"/>
        <v>180</v>
      </c>
    </row>
    <row r="227" spans="1:35">
      <c r="A227" s="55" t="s">
        <v>392</v>
      </c>
      <c r="B227" s="91">
        <v>0</v>
      </c>
      <c r="C227" s="91">
        <v>0</v>
      </c>
      <c r="D227" s="91">
        <v>13</v>
      </c>
      <c r="E227" s="90">
        <v>14</v>
      </c>
      <c r="F227" s="91">
        <v>56777</v>
      </c>
      <c r="G227" s="91">
        <v>54269</v>
      </c>
      <c r="H227" s="91">
        <v>4953</v>
      </c>
      <c r="I227" s="91">
        <v>249.86999999999989</v>
      </c>
      <c r="J227" s="91">
        <v>-2445</v>
      </c>
      <c r="K227" s="91">
        <v>61209</v>
      </c>
      <c r="L227" s="91">
        <v>52475</v>
      </c>
      <c r="M227" s="91">
        <v>50142</v>
      </c>
      <c r="N227" s="91">
        <v>64492</v>
      </c>
      <c r="O227" s="91">
        <v>3632</v>
      </c>
      <c r="P227" s="91">
        <v>1691</v>
      </c>
      <c r="Q227" s="91">
        <v>0</v>
      </c>
      <c r="R227" s="91">
        <v>0</v>
      </c>
      <c r="S227" s="91">
        <v>-2815</v>
      </c>
      <c r="T227" s="91">
        <v>0</v>
      </c>
      <c r="U227" s="91">
        <v>0</v>
      </c>
      <c r="V227" s="202">
        <v>0</v>
      </c>
      <c r="W227" s="91">
        <v>-370</v>
      </c>
      <c r="X227" s="91">
        <v>0</v>
      </c>
      <c r="Y227" s="91">
        <v>2445</v>
      </c>
      <c r="Z227" s="91">
        <v>0</v>
      </c>
      <c r="AA227" s="91">
        <v>0</v>
      </c>
      <c r="AB227" s="91">
        <v>-370</v>
      </c>
      <c r="AC227" s="91">
        <v>-370</v>
      </c>
      <c r="AD227" s="91">
        <v>-370</v>
      </c>
      <c r="AE227" s="91">
        <v>-370</v>
      </c>
      <c r="AF227" s="91">
        <v>-370</v>
      </c>
      <c r="AG227" s="91">
        <v>-595</v>
      </c>
      <c r="AH227" s="84">
        <v>7.6</v>
      </c>
      <c r="AI227" s="97">
        <f t="shared" si="3"/>
        <v>2508</v>
      </c>
    </row>
    <row r="228" spans="1:35">
      <c r="A228" s="55" t="s">
        <v>393</v>
      </c>
      <c r="B228" s="91">
        <v>0</v>
      </c>
      <c r="C228" s="91">
        <v>0</v>
      </c>
      <c r="D228" s="91">
        <v>0</v>
      </c>
      <c r="E228" s="90">
        <v>0</v>
      </c>
      <c r="F228" s="91">
        <v>0</v>
      </c>
      <c r="G228" s="91">
        <v>0</v>
      </c>
      <c r="H228" s="91">
        <v>0</v>
      </c>
      <c r="I228" s="91">
        <v>0</v>
      </c>
      <c r="J228" s="91">
        <v>0</v>
      </c>
      <c r="K228" s="91">
        <v>0</v>
      </c>
      <c r="L228" s="91">
        <v>0</v>
      </c>
      <c r="M228" s="91">
        <v>0</v>
      </c>
      <c r="N228" s="91">
        <v>0</v>
      </c>
      <c r="O228" s="91">
        <v>0</v>
      </c>
      <c r="P228" s="91">
        <v>0</v>
      </c>
      <c r="Q228" s="91">
        <v>0</v>
      </c>
      <c r="R228" s="91">
        <v>0</v>
      </c>
      <c r="S228" s="91">
        <v>0</v>
      </c>
      <c r="T228" s="91">
        <v>0</v>
      </c>
      <c r="U228" s="91">
        <v>0</v>
      </c>
      <c r="V228" s="202">
        <v>0</v>
      </c>
      <c r="W228" s="91">
        <v>0</v>
      </c>
      <c r="X228" s="91">
        <v>0</v>
      </c>
      <c r="Y228" s="91">
        <v>0</v>
      </c>
      <c r="Z228" s="91">
        <v>0</v>
      </c>
      <c r="AA228" s="91">
        <v>0</v>
      </c>
      <c r="AB228" s="91">
        <v>0</v>
      </c>
      <c r="AC228" s="91">
        <v>0</v>
      </c>
      <c r="AD228" s="91">
        <v>0</v>
      </c>
      <c r="AE228" s="91">
        <v>0</v>
      </c>
      <c r="AF228" s="91">
        <v>0</v>
      </c>
      <c r="AG228" s="91">
        <v>0</v>
      </c>
      <c r="AH228" s="84">
        <v>1</v>
      </c>
      <c r="AI228" s="97">
        <f t="shared" si="3"/>
        <v>0</v>
      </c>
    </row>
    <row r="229" spans="1:35">
      <c r="A229" s="55" t="s">
        <v>394</v>
      </c>
      <c r="B229" s="91">
        <v>0</v>
      </c>
      <c r="C229" s="91">
        <v>0</v>
      </c>
      <c r="D229" s="91">
        <v>4</v>
      </c>
      <c r="E229" s="90">
        <v>4</v>
      </c>
      <c r="F229" s="91">
        <v>7807</v>
      </c>
      <c r="G229" s="91">
        <v>7027</v>
      </c>
      <c r="H229" s="91">
        <v>1013</v>
      </c>
      <c r="I229" s="91">
        <v>190.95999999999998</v>
      </c>
      <c r="J229" s="91">
        <v>-233</v>
      </c>
      <c r="K229" s="91">
        <v>8225</v>
      </c>
      <c r="L229" s="91">
        <v>7416</v>
      </c>
      <c r="M229" s="91">
        <v>7159</v>
      </c>
      <c r="N229" s="91">
        <v>8533</v>
      </c>
      <c r="O229" s="91">
        <v>815</v>
      </c>
      <c r="P229" s="91">
        <v>229</v>
      </c>
      <c r="Q229" s="91">
        <v>0</v>
      </c>
      <c r="R229" s="91">
        <v>0</v>
      </c>
      <c r="S229" s="91">
        <v>-264</v>
      </c>
      <c r="T229" s="91">
        <v>0</v>
      </c>
      <c r="U229" s="91">
        <v>0</v>
      </c>
      <c r="V229" s="202">
        <v>0</v>
      </c>
      <c r="W229" s="91">
        <v>-31</v>
      </c>
      <c r="X229" s="91">
        <v>0</v>
      </c>
      <c r="Y229" s="91">
        <v>233</v>
      </c>
      <c r="Z229" s="91">
        <v>0</v>
      </c>
      <c r="AA229" s="91">
        <v>0</v>
      </c>
      <c r="AB229" s="91">
        <v>-31</v>
      </c>
      <c r="AC229" s="91">
        <v>-31</v>
      </c>
      <c r="AD229" s="91">
        <v>-31</v>
      </c>
      <c r="AE229" s="91">
        <v>-31</v>
      </c>
      <c r="AF229" s="91">
        <v>-31</v>
      </c>
      <c r="AG229" s="91">
        <v>-78</v>
      </c>
      <c r="AH229" s="84">
        <v>8.4</v>
      </c>
      <c r="AI229" s="97">
        <f t="shared" si="3"/>
        <v>780</v>
      </c>
    </row>
    <row r="230" spans="1:35" ht="22.5">
      <c r="A230" s="55" t="s">
        <v>395</v>
      </c>
      <c r="B230" s="91">
        <v>0</v>
      </c>
      <c r="C230" s="91">
        <v>0</v>
      </c>
      <c r="D230" s="91">
        <v>63</v>
      </c>
      <c r="E230" s="90">
        <v>67</v>
      </c>
      <c r="F230" s="91">
        <v>50729</v>
      </c>
      <c r="G230" s="91">
        <v>44955</v>
      </c>
      <c r="H230" s="91">
        <v>7919</v>
      </c>
      <c r="I230" s="91">
        <v>184.91000000000042</v>
      </c>
      <c r="J230" s="91">
        <v>-2145</v>
      </c>
      <c r="K230" s="91">
        <v>54373</v>
      </c>
      <c r="L230" s="91">
        <v>47087</v>
      </c>
      <c r="M230" s="91">
        <v>44333</v>
      </c>
      <c r="N230" s="91">
        <v>58228</v>
      </c>
      <c r="O230" s="91">
        <v>6667</v>
      </c>
      <c r="P230" s="91">
        <v>1507</v>
      </c>
      <c r="Q230" s="91">
        <v>0</v>
      </c>
      <c r="R230" s="91">
        <v>0</v>
      </c>
      <c r="S230" s="91">
        <v>-2400</v>
      </c>
      <c r="T230" s="91">
        <v>0</v>
      </c>
      <c r="U230" s="91">
        <v>0</v>
      </c>
      <c r="V230" s="202">
        <v>0</v>
      </c>
      <c r="W230" s="91">
        <v>-255</v>
      </c>
      <c r="X230" s="91">
        <v>0</v>
      </c>
      <c r="Y230" s="91">
        <v>2145</v>
      </c>
      <c r="Z230" s="91">
        <v>0</v>
      </c>
      <c r="AA230" s="91">
        <v>0</v>
      </c>
      <c r="AB230" s="91">
        <v>-255</v>
      </c>
      <c r="AC230" s="91">
        <v>-255</v>
      </c>
      <c r="AD230" s="91">
        <v>-255</v>
      </c>
      <c r="AE230" s="91">
        <v>-255</v>
      </c>
      <c r="AF230" s="91">
        <v>-255</v>
      </c>
      <c r="AG230" s="91">
        <v>-870</v>
      </c>
      <c r="AH230" s="84">
        <v>9.4</v>
      </c>
      <c r="AI230" s="97">
        <f t="shared" si="3"/>
        <v>5774</v>
      </c>
    </row>
    <row r="231" spans="1:35">
      <c r="A231" s="55" t="s">
        <v>396</v>
      </c>
      <c r="B231" s="91">
        <v>0</v>
      </c>
      <c r="C231" s="91">
        <v>0</v>
      </c>
      <c r="D231" s="91">
        <v>1</v>
      </c>
      <c r="E231" s="90">
        <v>1</v>
      </c>
      <c r="F231" s="91">
        <v>0</v>
      </c>
      <c r="G231" s="91">
        <v>0</v>
      </c>
      <c r="H231" s="91">
        <v>0</v>
      </c>
      <c r="I231" s="91">
        <v>0</v>
      </c>
      <c r="J231" s="91">
        <v>0</v>
      </c>
      <c r="K231" s="91">
        <v>0</v>
      </c>
      <c r="L231" s="91">
        <v>0</v>
      </c>
      <c r="M231" s="91">
        <v>0</v>
      </c>
      <c r="N231" s="91">
        <v>0</v>
      </c>
      <c r="O231" s="91">
        <v>0</v>
      </c>
      <c r="P231" s="91">
        <v>0</v>
      </c>
      <c r="Q231" s="91">
        <v>0</v>
      </c>
      <c r="R231" s="91">
        <v>0</v>
      </c>
      <c r="S231" s="91">
        <v>0</v>
      </c>
      <c r="T231" s="91">
        <v>0</v>
      </c>
      <c r="U231" s="91">
        <v>0</v>
      </c>
      <c r="V231" s="202">
        <v>0</v>
      </c>
      <c r="W231" s="91">
        <v>0</v>
      </c>
      <c r="X231" s="91">
        <v>0</v>
      </c>
      <c r="Y231" s="91">
        <v>0</v>
      </c>
      <c r="Z231" s="91">
        <v>0</v>
      </c>
      <c r="AA231" s="91">
        <v>0</v>
      </c>
      <c r="AB231" s="91">
        <v>0</v>
      </c>
      <c r="AC231" s="91">
        <v>0</v>
      </c>
      <c r="AD231" s="91">
        <v>0</v>
      </c>
      <c r="AE231" s="91">
        <v>0</v>
      </c>
      <c r="AF231" s="91">
        <v>0</v>
      </c>
      <c r="AG231" s="91">
        <v>0</v>
      </c>
      <c r="AH231" s="84">
        <v>15.4</v>
      </c>
      <c r="AI231" s="97">
        <f t="shared" si="3"/>
        <v>0</v>
      </c>
    </row>
    <row r="232" spans="1:35" ht="22.5">
      <c r="A232" s="55" t="s">
        <v>397</v>
      </c>
      <c r="B232" s="91">
        <v>0</v>
      </c>
      <c r="C232" s="91">
        <v>0</v>
      </c>
      <c r="D232" s="91">
        <v>0</v>
      </c>
      <c r="E232" s="90">
        <v>0</v>
      </c>
      <c r="F232" s="91">
        <v>0</v>
      </c>
      <c r="G232" s="91">
        <v>0</v>
      </c>
      <c r="H232" s="91">
        <v>0</v>
      </c>
      <c r="I232" s="91">
        <v>0</v>
      </c>
      <c r="J232" s="91">
        <v>0</v>
      </c>
      <c r="K232" s="91">
        <v>0</v>
      </c>
      <c r="L232" s="91">
        <v>0</v>
      </c>
      <c r="M232" s="91">
        <v>0</v>
      </c>
      <c r="N232" s="91">
        <v>0</v>
      </c>
      <c r="O232" s="91">
        <v>0</v>
      </c>
      <c r="P232" s="91">
        <v>0</v>
      </c>
      <c r="Q232" s="91">
        <v>0</v>
      </c>
      <c r="R232" s="91">
        <v>0</v>
      </c>
      <c r="S232" s="91">
        <v>0</v>
      </c>
      <c r="T232" s="91">
        <v>0</v>
      </c>
      <c r="U232" s="91">
        <v>0</v>
      </c>
      <c r="V232" s="202">
        <v>0</v>
      </c>
      <c r="W232" s="91">
        <v>0</v>
      </c>
      <c r="X232" s="91">
        <v>0</v>
      </c>
      <c r="Y232" s="91">
        <v>0</v>
      </c>
      <c r="Z232" s="91">
        <v>0</v>
      </c>
      <c r="AA232" s="91">
        <v>0</v>
      </c>
      <c r="AB232" s="91">
        <v>0</v>
      </c>
      <c r="AC232" s="91">
        <v>0</v>
      </c>
      <c r="AD232" s="91">
        <v>0</v>
      </c>
      <c r="AE232" s="91">
        <v>0</v>
      </c>
      <c r="AF232" s="91">
        <v>0</v>
      </c>
      <c r="AG232" s="91">
        <v>0</v>
      </c>
      <c r="AH232" s="84">
        <v>1</v>
      </c>
      <c r="AI232" s="97">
        <f t="shared" si="3"/>
        <v>0</v>
      </c>
    </row>
    <row r="233" spans="1:35" ht="22.5">
      <c r="A233" s="55" t="s">
        <v>398</v>
      </c>
      <c r="B233" s="91">
        <v>0</v>
      </c>
      <c r="C233" s="91">
        <v>0</v>
      </c>
      <c r="D233" s="91">
        <v>0</v>
      </c>
      <c r="E233" s="90">
        <v>0</v>
      </c>
      <c r="F233" s="91">
        <v>0</v>
      </c>
      <c r="G233" s="91">
        <v>0</v>
      </c>
      <c r="H233" s="91">
        <v>0</v>
      </c>
      <c r="I233" s="91">
        <v>0</v>
      </c>
      <c r="J233" s="91">
        <v>0</v>
      </c>
      <c r="K233" s="91">
        <v>0</v>
      </c>
      <c r="L233" s="91">
        <v>0</v>
      </c>
      <c r="M233" s="91">
        <v>0</v>
      </c>
      <c r="N233" s="91">
        <v>0</v>
      </c>
      <c r="O233" s="91">
        <v>0</v>
      </c>
      <c r="P233" s="91">
        <v>0</v>
      </c>
      <c r="Q233" s="91">
        <v>0</v>
      </c>
      <c r="R233" s="91">
        <v>0</v>
      </c>
      <c r="S233" s="91">
        <v>0</v>
      </c>
      <c r="T233" s="91">
        <v>0</v>
      </c>
      <c r="U233" s="91">
        <v>0</v>
      </c>
      <c r="V233" s="202">
        <v>0</v>
      </c>
      <c r="W233" s="91">
        <v>0</v>
      </c>
      <c r="X233" s="91">
        <v>0</v>
      </c>
      <c r="Y233" s="91">
        <v>0</v>
      </c>
      <c r="Z233" s="91">
        <v>0</v>
      </c>
      <c r="AA233" s="91">
        <v>0</v>
      </c>
      <c r="AB233" s="91">
        <v>0</v>
      </c>
      <c r="AC233" s="91">
        <v>0</v>
      </c>
      <c r="AD233" s="91">
        <v>0</v>
      </c>
      <c r="AE233" s="91">
        <v>0</v>
      </c>
      <c r="AF233" s="91">
        <v>0</v>
      </c>
      <c r="AG233" s="91">
        <v>0</v>
      </c>
      <c r="AH233" s="84">
        <v>1</v>
      </c>
      <c r="AI233" s="97">
        <f t="shared" si="3"/>
        <v>0</v>
      </c>
    </row>
    <row r="234" spans="1:35" ht="22.5">
      <c r="A234" s="55" t="s">
        <v>399</v>
      </c>
      <c r="B234" s="91">
        <v>0</v>
      </c>
      <c r="C234" s="91">
        <v>0</v>
      </c>
      <c r="D234" s="91">
        <v>0</v>
      </c>
      <c r="E234" s="90">
        <v>0</v>
      </c>
      <c r="F234" s="91">
        <v>0</v>
      </c>
      <c r="G234" s="91">
        <v>0</v>
      </c>
      <c r="H234" s="91">
        <v>0</v>
      </c>
      <c r="I234" s="91">
        <v>0</v>
      </c>
      <c r="J234" s="91">
        <v>0</v>
      </c>
      <c r="K234" s="91">
        <v>0</v>
      </c>
      <c r="L234" s="91">
        <v>0</v>
      </c>
      <c r="M234" s="91">
        <v>0</v>
      </c>
      <c r="N234" s="91">
        <v>0</v>
      </c>
      <c r="O234" s="91">
        <v>0</v>
      </c>
      <c r="P234" s="91">
        <v>0</v>
      </c>
      <c r="Q234" s="91">
        <v>0</v>
      </c>
      <c r="R234" s="91">
        <v>0</v>
      </c>
      <c r="S234" s="91">
        <v>0</v>
      </c>
      <c r="T234" s="91">
        <v>0</v>
      </c>
      <c r="U234" s="91">
        <v>0</v>
      </c>
      <c r="V234" s="202">
        <v>0</v>
      </c>
      <c r="W234" s="91">
        <v>0</v>
      </c>
      <c r="X234" s="91">
        <v>0</v>
      </c>
      <c r="Y234" s="91">
        <v>0</v>
      </c>
      <c r="Z234" s="91">
        <v>0</v>
      </c>
      <c r="AA234" s="91">
        <v>0</v>
      </c>
      <c r="AB234" s="91">
        <v>0</v>
      </c>
      <c r="AC234" s="91">
        <v>0</v>
      </c>
      <c r="AD234" s="91">
        <v>0</v>
      </c>
      <c r="AE234" s="91">
        <v>0</v>
      </c>
      <c r="AF234" s="91">
        <v>0</v>
      </c>
      <c r="AG234" s="91">
        <v>0</v>
      </c>
      <c r="AH234" s="84">
        <v>1</v>
      </c>
      <c r="AI234" s="97">
        <f t="shared" si="3"/>
        <v>0</v>
      </c>
    </row>
    <row r="235" spans="1:35">
      <c r="A235" s="55" t="s">
        <v>400</v>
      </c>
      <c r="B235" s="91">
        <v>0</v>
      </c>
      <c r="C235" s="91">
        <v>0</v>
      </c>
      <c r="D235" s="91">
        <v>0</v>
      </c>
      <c r="E235" s="90">
        <v>0</v>
      </c>
      <c r="F235" s="91">
        <v>0</v>
      </c>
      <c r="G235" s="91">
        <v>0</v>
      </c>
      <c r="H235" s="91">
        <v>0</v>
      </c>
      <c r="I235" s="91">
        <v>0</v>
      </c>
      <c r="J235" s="91">
        <v>0</v>
      </c>
      <c r="K235" s="91">
        <v>0</v>
      </c>
      <c r="L235" s="91">
        <v>0</v>
      </c>
      <c r="M235" s="91">
        <v>0</v>
      </c>
      <c r="N235" s="91">
        <v>0</v>
      </c>
      <c r="O235" s="91">
        <v>0</v>
      </c>
      <c r="P235" s="91">
        <v>0</v>
      </c>
      <c r="Q235" s="91">
        <v>0</v>
      </c>
      <c r="R235" s="91">
        <v>0</v>
      </c>
      <c r="S235" s="91">
        <v>0</v>
      </c>
      <c r="T235" s="91">
        <v>0</v>
      </c>
      <c r="U235" s="91">
        <v>0</v>
      </c>
      <c r="V235" s="202">
        <v>0</v>
      </c>
      <c r="W235" s="91">
        <v>0</v>
      </c>
      <c r="X235" s="91">
        <v>0</v>
      </c>
      <c r="Y235" s="91">
        <v>0</v>
      </c>
      <c r="Z235" s="91">
        <v>0</v>
      </c>
      <c r="AA235" s="91">
        <v>0</v>
      </c>
      <c r="AB235" s="91">
        <v>0</v>
      </c>
      <c r="AC235" s="91">
        <v>0</v>
      </c>
      <c r="AD235" s="91">
        <v>0</v>
      </c>
      <c r="AE235" s="91">
        <v>0</v>
      </c>
      <c r="AF235" s="91">
        <v>0</v>
      </c>
      <c r="AG235" s="91">
        <v>0</v>
      </c>
      <c r="AH235" s="84">
        <v>1</v>
      </c>
      <c r="AI235" s="97">
        <f t="shared" si="3"/>
        <v>0</v>
      </c>
    </row>
    <row r="236" spans="1:35">
      <c r="A236" s="55" t="s">
        <v>401</v>
      </c>
      <c r="B236" s="91">
        <v>0</v>
      </c>
      <c r="C236" s="91">
        <v>0</v>
      </c>
      <c r="D236" s="91">
        <v>0</v>
      </c>
      <c r="E236" s="90">
        <v>0</v>
      </c>
      <c r="F236" s="91">
        <v>0</v>
      </c>
      <c r="G236" s="91">
        <v>0</v>
      </c>
      <c r="H236" s="91">
        <v>0</v>
      </c>
      <c r="I236" s="91">
        <v>0</v>
      </c>
      <c r="J236" s="91">
        <v>0</v>
      </c>
      <c r="K236" s="91">
        <v>0</v>
      </c>
      <c r="L236" s="91">
        <v>0</v>
      </c>
      <c r="M236" s="91">
        <v>0</v>
      </c>
      <c r="N236" s="91">
        <v>0</v>
      </c>
      <c r="O236" s="91">
        <v>0</v>
      </c>
      <c r="P236" s="91">
        <v>0</v>
      </c>
      <c r="Q236" s="91">
        <v>0</v>
      </c>
      <c r="R236" s="91">
        <v>0</v>
      </c>
      <c r="S236" s="91">
        <v>0</v>
      </c>
      <c r="T236" s="91">
        <v>0</v>
      </c>
      <c r="U236" s="91">
        <v>0</v>
      </c>
      <c r="V236" s="202">
        <v>0</v>
      </c>
      <c r="W236" s="91">
        <v>0</v>
      </c>
      <c r="X236" s="91">
        <v>0</v>
      </c>
      <c r="Y236" s="91">
        <v>0</v>
      </c>
      <c r="Z236" s="91">
        <v>0</v>
      </c>
      <c r="AA236" s="91">
        <v>0</v>
      </c>
      <c r="AB236" s="91">
        <v>0</v>
      </c>
      <c r="AC236" s="91">
        <v>0</v>
      </c>
      <c r="AD236" s="91">
        <v>0</v>
      </c>
      <c r="AE236" s="91">
        <v>0</v>
      </c>
      <c r="AF236" s="91">
        <v>0</v>
      </c>
      <c r="AG236" s="91">
        <v>0</v>
      </c>
      <c r="AH236" s="84">
        <v>1</v>
      </c>
      <c r="AI236" s="97">
        <f t="shared" si="3"/>
        <v>0</v>
      </c>
    </row>
    <row r="237" spans="1:35">
      <c r="A237" s="55" t="s">
        <v>402</v>
      </c>
      <c r="B237" s="91">
        <v>0</v>
      </c>
      <c r="C237" s="91">
        <v>0</v>
      </c>
      <c r="D237" s="91">
        <v>0</v>
      </c>
      <c r="E237" s="90">
        <v>0</v>
      </c>
      <c r="F237" s="91">
        <v>0</v>
      </c>
      <c r="G237" s="91">
        <v>0</v>
      </c>
      <c r="H237" s="91">
        <v>0</v>
      </c>
      <c r="I237" s="91">
        <v>0</v>
      </c>
      <c r="J237" s="91">
        <v>0</v>
      </c>
      <c r="K237" s="91">
        <v>0</v>
      </c>
      <c r="L237" s="91">
        <v>0</v>
      </c>
      <c r="M237" s="91">
        <v>0</v>
      </c>
      <c r="N237" s="91">
        <v>0</v>
      </c>
      <c r="O237" s="91">
        <v>0</v>
      </c>
      <c r="P237" s="91">
        <v>0</v>
      </c>
      <c r="Q237" s="91">
        <v>0</v>
      </c>
      <c r="R237" s="91">
        <v>0</v>
      </c>
      <c r="S237" s="91">
        <v>0</v>
      </c>
      <c r="T237" s="91">
        <v>0</v>
      </c>
      <c r="U237" s="91">
        <v>0</v>
      </c>
      <c r="V237" s="202">
        <v>0</v>
      </c>
      <c r="W237" s="91">
        <v>0</v>
      </c>
      <c r="X237" s="91">
        <v>0</v>
      </c>
      <c r="Y237" s="91">
        <v>0</v>
      </c>
      <c r="Z237" s="91">
        <v>0</v>
      </c>
      <c r="AA237" s="91">
        <v>0</v>
      </c>
      <c r="AB237" s="91">
        <v>0</v>
      </c>
      <c r="AC237" s="91">
        <v>0</v>
      </c>
      <c r="AD237" s="91">
        <v>0</v>
      </c>
      <c r="AE237" s="91">
        <v>0</v>
      </c>
      <c r="AF237" s="91">
        <v>0</v>
      </c>
      <c r="AG237" s="91">
        <v>0</v>
      </c>
      <c r="AH237" s="84">
        <v>1</v>
      </c>
      <c r="AI237" s="97">
        <f t="shared" si="3"/>
        <v>0</v>
      </c>
    </row>
    <row r="238" spans="1:35">
      <c r="A238" s="55" t="s">
        <v>403</v>
      </c>
      <c r="B238" s="91">
        <v>0</v>
      </c>
      <c r="C238" s="91">
        <v>0</v>
      </c>
      <c r="D238" s="91">
        <v>1</v>
      </c>
      <c r="E238" s="90">
        <v>1</v>
      </c>
      <c r="F238" s="91">
        <v>0</v>
      </c>
      <c r="G238" s="91">
        <v>0</v>
      </c>
      <c r="H238" s="91">
        <v>0</v>
      </c>
      <c r="I238" s="91">
        <v>0</v>
      </c>
      <c r="J238" s="91">
        <v>0</v>
      </c>
      <c r="K238" s="91">
        <v>0</v>
      </c>
      <c r="L238" s="91">
        <v>0</v>
      </c>
      <c r="M238" s="91">
        <v>0</v>
      </c>
      <c r="N238" s="91">
        <v>0</v>
      </c>
      <c r="O238" s="91">
        <v>0</v>
      </c>
      <c r="P238" s="91">
        <v>0</v>
      </c>
      <c r="Q238" s="91">
        <v>0</v>
      </c>
      <c r="R238" s="91">
        <v>0</v>
      </c>
      <c r="S238" s="91">
        <v>0</v>
      </c>
      <c r="T238" s="91">
        <v>0</v>
      </c>
      <c r="U238" s="91">
        <v>0</v>
      </c>
      <c r="V238" s="202">
        <v>0</v>
      </c>
      <c r="W238" s="91">
        <v>0</v>
      </c>
      <c r="X238" s="91">
        <v>0</v>
      </c>
      <c r="Y238" s="91">
        <v>0</v>
      </c>
      <c r="Z238" s="91">
        <v>0</v>
      </c>
      <c r="AA238" s="91">
        <v>0</v>
      </c>
      <c r="AB238" s="91">
        <v>0</v>
      </c>
      <c r="AC238" s="91">
        <v>0</v>
      </c>
      <c r="AD238" s="91">
        <v>0</v>
      </c>
      <c r="AE238" s="91">
        <v>0</v>
      </c>
      <c r="AF238" s="91">
        <v>0</v>
      </c>
      <c r="AG238" s="91">
        <v>0</v>
      </c>
      <c r="AH238" s="84">
        <v>12.3</v>
      </c>
      <c r="AI238" s="97">
        <f t="shared" si="3"/>
        <v>0</v>
      </c>
    </row>
    <row r="239" spans="1:35">
      <c r="A239" s="55" t="s">
        <v>404</v>
      </c>
      <c r="B239" s="91">
        <v>0</v>
      </c>
      <c r="C239" s="91">
        <v>0</v>
      </c>
      <c r="D239" s="91">
        <v>103</v>
      </c>
      <c r="E239" s="90">
        <v>119</v>
      </c>
      <c r="F239" s="91">
        <v>70314</v>
      </c>
      <c r="G239" s="91">
        <v>59718</v>
      </c>
      <c r="H239" s="91">
        <v>13422</v>
      </c>
      <c r="I239" s="91">
        <v>1179.3700000000008</v>
      </c>
      <c r="J239" s="91">
        <v>-2826</v>
      </c>
      <c r="K239" s="91">
        <v>75246</v>
      </c>
      <c r="L239" s="91">
        <v>65575</v>
      </c>
      <c r="M239" s="91">
        <v>62485</v>
      </c>
      <c r="N239" s="91">
        <v>79480</v>
      </c>
      <c r="O239" s="91">
        <v>11652</v>
      </c>
      <c r="P239" s="91">
        <v>2084</v>
      </c>
      <c r="Q239" s="91">
        <v>0</v>
      </c>
      <c r="R239" s="91">
        <v>0</v>
      </c>
      <c r="S239" s="91">
        <v>-3140</v>
      </c>
      <c r="T239" s="91">
        <v>0</v>
      </c>
      <c r="U239" s="91">
        <v>0</v>
      </c>
      <c r="V239" s="202">
        <v>0</v>
      </c>
      <c r="W239" s="91">
        <v>-314</v>
      </c>
      <c r="X239" s="91">
        <v>0</v>
      </c>
      <c r="Y239" s="91">
        <v>2826</v>
      </c>
      <c r="Z239" s="91">
        <v>0</v>
      </c>
      <c r="AA239" s="91">
        <v>0</v>
      </c>
      <c r="AB239" s="91">
        <v>-314</v>
      </c>
      <c r="AC239" s="91">
        <v>-314</v>
      </c>
      <c r="AD239" s="91">
        <v>-314</v>
      </c>
      <c r="AE239" s="91">
        <v>-314</v>
      </c>
      <c r="AF239" s="91">
        <v>-314</v>
      </c>
      <c r="AG239" s="91">
        <v>-1256</v>
      </c>
      <c r="AH239" s="84">
        <v>10</v>
      </c>
      <c r="AI239" s="97">
        <f t="shared" si="3"/>
        <v>10596</v>
      </c>
    </row>
    <row r="240" spans="1:35">
      <c r="A240" s="55" t="s">
        <v>405</v>
      </c>
      <c r="B240" s="91">
        <v>0</v>
      </c>
      <c r="C240" s="91">
        <v>0</v>
      </c>
      <c r="D240" s="91">
        <v>8</v>
      </c>
      <c r="E240" s="90">
        <v>10</v>
      </c>
      <c r="F240" s="91">
        <v>13876</v>
      </c>
      <c r="G240" s="91">
        <v>12987</v>
      </c>
      <c r="H240" s="91">
        <v>1660</v>
      </c>
      <c r="I240" s="91">
        <v>358.28999999999985</v>
      </c>
      <c r="J240" s="91">
        <v>-771</v>
      </c>
      <c r="K240" s="91">
        <v>15317</v>
      </c>
      <c r="L240" s="91">
        <v>12539</v>
      </c>
      <c r="M240" s="91">
        <v>11810</v>
      </c>
      <c r="N240" s="91">
        <v>16314</v>
      </c>
      <c r="O240" s="91">
        <v>1351</v>
      </c>
      <c r="P240" s="91">
        <v>419</v>
      </c>
      <c r="Q240" s="91">
        <v>0</v>
      </c>
      <c r="R240" s="91">
        <v>0</v>
      </c>
      <c r="S240" s="91">
        <v>-881</v>
      </c>
      <c r="T240" s="91">
        <v>0</v>
      </c>
      <c r="U240" s="91">
        <v>0</v>
      </c>
      <c r="V240" s="202">
        <v>0</v>
      </c>
      <c r="W240" s="91">
        <v>-110</v>
      </c>
      <c r="X240" s="91">
        <v>0</v>
      </c>
      <c r="Y240" s="91">
        <v>771</v>
      </c>
      <c r="Z240" s="91">
        <v>0</v>
      </c>
      <c r="AA240" s="91">
        <v>0</v>
      </c>
      <c r="AB240" s="91">
        <v>-110</v>
      </c>
      <c r="AC240" s="91">
        <v>-110</v>
      </c>
      <c r="AD240" s="91">
        <v>-110</v>
      </c>
      <c r="AE240" s="91">
        <v>-110</v>
      </c>
      <c r="AF240" s="91">
        <v>-110</v>
      </c>
      <c r="AG240" s="91">
        <v>-221</v>
      </c>
      <c r="AH240" s="84">
        <v>8</v>
      </c>
      <c r="AI240" s="97">
        <f t="shared" si="3"/>
        <v>889</v>
      </c>
    </row>
    <row r="241" spans="1:35">
      <c r="A241" s="55" t="s">
        <v>406</v>
      </c>
      <c r="B241" s="91">
        <v>0</v>
      </c>
      <c r="C241" s="91">
        <v>0</v>
      </c>
      <c r="D241" s="91">
        <v>0</v>
      </c>
      <c r="E241" s="90">
        <v>0</v>
      </c>
      <c r="F241" s="91">
        <v>0</v>
      </c>
      <c r="G241" s="91">
        <v>0</v>
      </c>
      <c r="H241" s="91">
        <v>0</v>
      </c>
      <c r="I241" s="91">
        <v>0</v>
      </c>
      <c r="J241" s="91">
        <v>0</v>
      </c>
      <c r="K241" s="91">
        <v>0</v>
      </c>
      <c r="L241" s="91">
        <v>0</v>
      </c>
      <c r="M241" s="91">
        <v>0</v>
      </c>
      <c r="N241" s="91">
        <v>0</v>
      </c>
      <c r="O241" s="91">
        <v>0</v>
      </c>
      <c r="P241" s="91">
        <v>0</v>
      </c>
      <c r="Q241" s="91">
        <v>0</v>
      </c>
      <c r="R241" s="91">
        <v>0</v>
      </c>
      <c r="S241" s="91">
        <v>0</v>
      </c>
      <c r="T241" s="91">
        <v>0</v>
      </c>
      <c r="U241" s="91">
        <v>0</v>
      </c>
      <c r="V241" s="202">
        <v>0</v>
      </c>
      <c r="W241" s="91">
        <v>0</v>
      </c>
      <c r="X241" s="91">
        <v>0</v>
      </c>
      <c r="Y241" s="91">
        <v>0</v>
      </c>
      <c r="Z241" s="91">
        <v>0</v>
      </c>
      <c r="AA241" s="91">
        <v>0</v>
      </c>
      <c r="AB241" s="91">
        <v>0</v>
      </c>
      <c r="AC241" s="91">
        <v>0</v>
      </c>
      <c r="AD241" s="91">
        <v>0</v>
      </c>
      <c r="AE241" s="91">
        <v>0</v>
      </c>
      <c r="AF241" s="91">
        <v>0</v>
      </c>
      <c r="AG241" s="91">
        <v>0</v>
      </c>
      <c r="AH241" s="84">
        <v>1</v>
      </c>
      <c r="AI241" s="97">
        <f t="shared" si="3"/>
        <v>0</v>
      </c>
    </row>
    <row r="242" spans="1:35">
      <c r="A242" s="55" t="s">
        <v>407</v>
      </c>
      <c r="B242" s="91">
        <v>0</v>
      </c>
      <c r="C242" s="91">
        <v>0</v>
      </c>
      <c r="D242" s="91">
        <v>11</v>
      </c>
      <c r="E242" s="90">
        <v>11</v>
      </c>
      <c r="F242" s="91">
        <v>19452</v>
      </c>
      <c r="G242" s="91">
        <v>16814</v>
      </c>
      <c r="H242" s="91">
        <v>3381</v>
      </c>
      <c r="I242" s="91">
        <v>91.329999999999984</v>
      </c>
      <c r="J242" s="91">
        <v>-743</v>
      </c>
      <c r="K242" s="91">
        <v>20808</v>
      </c>
      <c r="L242" s="91">
        <v>18126</v>
      </c>
      <c r="M242" s="91">
        <v>17166</v>
      </c>
      <c r="N242" s="91">
        <v>22142</v>
      </c>
      <c r="O242" s="91">
        <v>2882</v>
      </c>
      <c r="P242" s="91">
        <v>575</v>
      </c>
      <c r="Q242" s="91">
        <v>0</v>
      </c>
      <c r="R242" s="91">
        <v>0</v>
      </c>
      <c r="S242" s="91">
        <v>-819</v>
      </c>
      <c r="T242" s="91">
        <v>0</v>
      </c>
      <c r="U242" s="91">
        <v>0</v>
      </c>
      <c r="V242" s="202">
        <v>0</v>
      </c>
      <c r="W242" s="91">
        <v>-76</v>
      </c>
      <c r="X242" s="91">
        <v>0</v>
      </c>
      <c r="Y242" s="91">
        <v>743</v>
      </c>
      <c r="Z242" s="91">
        <v>0</v>
      </c>
      <c r="AA242" s="91">
        <v>0</v>
      </c>
      <c r="AB242" s="91">
        <v>-76</v>
      </c>
      <c r="AC242" s="91">
        <v>-76</v>
      </c>
      <c r="AD242" s="91">
        <v>-76</v>
      </c>
      <c r="AE242" s="91">
        <v>-76</v>
      </c>
      <c r="AF242" s="91">
        <v>-76</v>
      </c>
      <c r="AG242" s="91">
        <v>-363</v>
      </c>
      <c r="AH242" s="84">
        <v>10.8</v>
      </c>
      <c r="AI242" s="97">
        <f t="shared" si="3"/>
        <v>2638</v>
      </c>
    </row>
    <row r="243" spans="1:35">
      <c r="A243" s="55" t="s">
        <v>408</v>
      </c>
      <c r="B243" s="91">
        <v>1</v>
      </c>
      <c r="C243" s="91">
        <v>0</v>
      </c>
      <c r="D243" s="91">
        <v>125</v>
      </c>
      <c r="E243" s="90">
        <v>142</v>
      </c>
      <c r="F243" s="91">
        <v>341778</v>
      </c>
      <c r="G243" s="91">
        <v>320914</v>
      </c>
      <c r="H243" s="91">
        <v>41124</v>
      </c>
      <c r="I243" s="91">
        <v>4756.8599999999915</v>
      </c>
      <c r="J243" s="91">
        <v>-16171</v>
      </c>
      <c r="K243" s="91">
        <v>370411</v>
      </c>
      <c r="L243" s="91">
        <v>314978</v>
      </c>
      <c r="M243" s="91">
        <v>298473</v>
      </c>
      <c r="N243" s="91">
        <v>393653</v>
      </c>
      <c r="O243" s="91">
        <v>32759</v>
      </c>
      <c r="P243" s="91">
        <v>10268</v>
      </c>
      <c r="Q243" s="91">
        <v>0</v>
      </c>
      <c r="R243" s="91">
        <v>0</v>
      </c>
      <c r="S243" s="91">
        <v>-18074</v>
      </c>
      <c r="T243" s="91">
        <v>4089</v>
      </c>
      <c r="U243" s="91">
        <v>0</v>
      </c>
      <c r="V243" s="202">
        <v>0</v>
      </c>
      <c r="W243" s="91">
        <v>-1903</v>
      </c>
      <c r="X243" s="91">
        <v>0</v>
      </c>
      <c r="Y243" s="91">
        <v>16171</v>
      </c>
      <c r="Z243" s="91">
        <v>0</v>
      </c>
      <c r="AA243" s="91">
        <v>0</v>
      </c>
      <c r="AB243" s="91">
        <v>-1903</v>
      </c>
      <c r="AC243" s="91">
        <v>-1903</v>
      </c>
      <c r="AD243" s="91">
        <v>-1903</v>
      </c>
      <c r="AE243" s="91">
        <v>-1903</v>
      </c>
      <c r="AF243" s="91">
        <v>-1903</v>
      </c>
      <c r="AG243" s="91">
        <v>-6656</v>
      </c>
      <c r="AH243" s="84">
        <v>9.5</v>
      </c>
      <c r="AI243" s="97">
        <f t="shared" si="3"/>
        <v>20864</v>
      </c>
    </row>
    <row r="244" spans="1:35">
      <c r="A244" s="55" t="s">
        <v>409</v>
      </c>
      <c r="B244" s="91">
        <v>0</v>
      </c>
      <c r="C244" s="91">
        <v>0</v>
      </c>
      <c r="D244" s="91">
        <v>0</v>
      </c>
      <c r="E244" s="90">
        <v>0</v>
      </c>
      <c r="F244" s="91">
        <v>0</v>
      </c>
      <c r="G244" s="91">
        <v>0</v>
      </c>
      <c r="H244" s="91">
        <v>0</v>
      </c>
      <c r="I244" s="91">
        <v>0</v>
      </c>
      <c r="J244" s="91">
        <v>0</v>
      </c>
      <c r="K244" s="91">
        <v>0</v>
      </c>
      <c r="L244" s="91">
        <v>0</v>
      </c>
      <c r="M244" s="91">
        <v>0</v>
      </c>
      <c r="N244" s="91">
        <v>0</v>
      </c>
      <c r="O244" s="91">
        <v>0</v>
      </c>
      <c r="P244" s="91">
        <v>0</v>
      </c>
      <c r="Q244" s="91">
        <v>0</v>
      </c>
      <c r="R244" s="91">
        <v>0</v>
      </c>
      <c r="S244" s="91">
        <v>0</v>
      </c>
      <c r="T244" s="91">
        <v>0</v>
      </c>
      <c r="U244" s="91">
        <v>0</v>
      </c>
      <c r="V244" s="202">
        <v>0</v>
      </c>
      <c r="W244" s="91">
        <v>0</v>
      </c>
      <c r="X244" s="91">
        <v>0</v>
      </c>
      <c r="Y244" s="91">
        <v>0</v>
      </c>
      <c r="Z244" s="91">
        <v>0</v>
      </c>
      <c r="AA244" s="91">
        <v>0</v>
      </c>
      <c r="AB244" s="91">
        <v>0</v>
      </c>
      <c r="AC244" s="91">
        <v>0</v>
      </c>
      <c r="AD244" s="91">
        <v>0</v>
      </c>
      <c r="AE244" s="91">
        <v>0</v>
      </c>
      <c r="AF244" s="91">
        <v>0</v>
      </c>
      <c r="AG244" s="91">
        <v>0</v>
      </c>
      <c r="AH244" s="84">
        <v>1</v>
      </c>
      <c r="AI244" s="97">
        <f t="shared" si="3"/>
        <v>0</v>
      </c>
    </row>
    <row r="245" spans="1:35" ht="22.5">
      <c r="A245" s="55" t="s">
        <v>410</v>
      </c>
      <c r="B245" s="91">
        <v>0</v>
      </c>
      <c r="C245" s="91">
        <v>0</v>
      </c>
      <c r="D245" s="91">
        <v>108</v>
      </c>
      <c r="E245" s="90">
        <v>112</v>
      </c>
      <c r="F245" s="91">
        <v>245471</v>
      </c>
      <c r="G245" s="91">
        <v>229258</v>
      </c>
      <c r="H245" s="91">
        <v>27619</v>
      </c>
      <c r="I245" s="91">
        <v>1634.7699999999995</v>
      </c>
      <c r="J245" s="91">
        <v>-11406</v>
      </c>
      <c r="K245" s="91">
        <v>265410</v>
      </c>
      <c r="L245" s="91">
        <v>226608</v>
      </c>
      <c r="M245" s="91">
        <v>215128</v>
      </c>
      <c r="N245" s="91">
        <v>281928</v>
      </c>
      <c r="O245" s="91">
        <v>21548</v>
      </c>
      <c r="P245" s="91">
        <v>7324</v>
      </c>
      <c r="Q245" s="91">
        <v>0</v>
      </c>
      <c r="R245" s="91">
        <v>0</v>
      </c>
      <c r="S245" s="91">
        <v>-12659</v>
      </c>
      <c r="T245" s="91">
        <v>0</v>
      </c>
      <c r="U245" s="91">
        <v>0</v>
      </c>
      <c r="V245" s="202">
        <v>0</v>
      </c>
      <c r="W245" s="91">
        <v>-1253</v>
      </c>
      <c r="X245" s="91">
        <v>0</v>
      </c>
      <c r="Y245" s="91">
        <v>11406</v>
      </c>
      <c r="Z245" s="91">
        <v>0</v>
      </c>
      <c r="AA245" s="91">
        <v>0</v>
      </c>
      <c r="AB245" s="91">
        <v>-1253</v>
      </c>
      <c r="AC245" s="91">
        <v>-1253</v>
      </c>
      <c r="AD245" s="91">
        <v>-1253</v>
      </c>
      <c r="AE245" s="91">
        <v>-1253</v>
      </c>
      <c r="AF245" s="91">
        <v>-1253</v>
      </c>
      <c r="AG245" s="91">
        <v>-5141</v>
      </c>
      <c r="AH245" s="84">
        <v>10.1</v>
      </c>
      <c r="AI245" s="97">
        <f t="shared" si="3"/>
        <v>16213</v>
      </c>
    </row>
    <row r="246" spans="1:35" ht="22.5">
      <c r="A246" s="55" t="s">
        <v>411</v>
      </c>
      <c r="B246" s="91">
        <v>0</v>
      </c>
      <c r="C246" s="91">
        <v>0</v>
      </c>
      <c r="D246" s="91">
        <v>0</v>
      </c>
      <c r="E246" s="90">
        <v>0</v>
      </c>
      <c r="F246" s="91">
        <v>0</v>
      </c>
      <c r="G246" s="91">
        <v>0</v>
      </c>
      <c r="H246" s="91">
        <v>0</v>
      </c>
      <c r="I246" s="91">
        <v>0</v>
      </c>
      <c r="J246" s="91">
        <v>0</v>
      </c>
      <c r="K246" s="91">
        <v>0</v>
      </c>
      <c r="L246" s="91">
        <v>0</v>
      </c>
      <c r="M246" s="91">
        <v>0</v>
      </c>
      <c r="N246" s="91">
        <v>0</v>
      </c>
      <c r="O246" s="91">
        <v>0</v>
      </c>
      <c r="P246" s="91">
        <v>0</v>
      </c>
      <c r="Q246" s="91">
        <v>0</v>
      </c>
      <c r="R246" s="91">
        <v>0</v>
      </c>
      <c r="S246" s="91">
        <v>0</v>
      </c>
      <c r="T246" s="91">
        <v>0</v>
      </c>
      <c r="U246" s="91">
        <v>0</v>
      </c>
      <c r="V246" s="202">
        <v>0</v>
      </c>
      <c r="W246" s="91">
        <v>0</v>
      </c>
      <c r="X246" s="91">
        <v>0</v>
      </c>
      <c r="Y246" s="91">
        <v>0</v>
      </c>
      <c r="Z246" s="91">
        <v>0</v>
      </c>
      <c r="AA246" s="91">
        <v>0</v>
      </c>
      <c r="AB246" s="91">
        <v>0</v>
      </c>
      <c r="AC246" s="91">
        <v>0</v>
      </c>
      <c r="AD246" s="91">
        <v>0</v>
      </c>
      <c r="AE246" s="91">
        <v>0</v>
      </c>
      <c r="AF246" s="91">
        <v>0</v>
      </c>
      <c r="AG246" s="91">
        <v>0</v>
      </c>
      <c r="AH246" s="84">
        <v>1</v>
      </c>
      <c r="AI246" s="97">
        <f t="shared" si="3"/>
        <v>0</v>
      </c>
    </row>
    <row r="247" spans="1:35">
      <c r="A247" s="55" t="s">
        <v>412</v>
      </c>
      <c r="B247" s="91">
        <v>0</v>
      </c>
      <c r="C247" s="91">
        <v>0</v>
      </c>
      <c r="D247" s="91">
        <v>0</v>
      </c>
      <c r="E247" s="90">
        <v>0</v>
      </c>
      <c r="F247" s="91">
        <v>0</v>
      </c>
      <c r="G247" s="91">
        <v>0</v>
      </c>
      <c r="H247" s="91">
        <v>0</v>
      </c>
      <c r="I247" s="91">
        <v>0</v>
      </c>
      <c r="J247" s="91">
        <v>0</v>
      </c>
      <c r="K247" s="91">
        <v>0</v>
      </c>
      <c r="L247" s="91">
        <v>0</v>
      </c>
      <c r="M247" s="91">
        <v>0</v>
      </c>
      <c r="N247" s="91">
        <v>0</v>
      </c>
      <c r="O247" s="91">
        <v>0</v>
      </c>
      <c r="P247" s="91">
        <v>0</v>
      </c>
      <c r="Q247" s="91">
        <v>0</v>
      </c>
      <c r="R247" s="91">
        <v>0</v>
      </c>
      <c r="S247" s="91">
        <v>0</v>
      </c>
      <c r="T247" s="91">
        <v>0</v>
      </c>
      <c r="U247" s="91">
        <v>0</v>
      </c>
      <c r="V247" s="202">
        <v>0</v>
      </c>
      <c r="W247" s="91">
        <v>0</v>
      </c>
      <c r="X247" s="91">
        <v>0</v>
      </c>
      <c r="Y247" s="91">
        <v>0</v>
      </c>
      <c r="Z247" s="91">
        <v>0</v>
      </c>
      <c r="AA247" s="91">
        <v>0</v>
      </c>
      <c r="AB247" s="91">
        <v>0</v>
      </c>
      <c r="AC247" s="91">
        <v>0</v>
      </c>
      <c r="AD247" s="91">
        <v>0</v>
      </c>
      <c r="AE247" s="91">
        <v>0</v>
      </c>
      <c r="AF247" s="91">
        <v>0</v>
      </c>
      <c r="AG247" s="91">
        <v>0</v>
      </c>
      <c r="AH247" s="84">
        <v>1</v>
      </c>
      <c r="AI247" s="97">
        <f t="shared" si="3"/>
        <v>0</v>
      </c>
    </row>
    <row r="248" spans="1:35">
      <c r="A248" s="55" t="s">
        <v>413</v>
      </c>
      <c r="B248" s="91">
        <v>0</v>
      </c>
      <c r="C248" s="91">
        <v>0</v>
      </c>
      <c r="D248" s="91">
        <v>0</v>
      </c>
      <c r="E248" s="90">
        <v>0</v>
      </c>
      <c r="F248" s="91">
        <v>0</v>
      </c>
      <c r="G248" s="91">
        <v>0</v>
      </c>
      <c r="H248" s="91">
        <v>0</v>
      </c>
      <c r="I248" s="91">
        <v>0</v>
      </c>
      <c r="J248" s="91">
        <v>0</v>
      </c>
      <c r="K248" s="91">
        <v>0</v>
      </c>
      <c r="L248" s="91">
        <v>0</v>
      </c>
      <c r="M248" s="91">
        <v>0</v>
      </c>
      <c r="N248" s="91">
        <v>0</v>
      </c>
      <c r="O248" s="91">
        <v>0</v>
      </c>
      <c r="P248" s="91">
        <v>0</v>
      </c>
      <c r="Q248" s="91">
        <v>0</v>
      </c>
      <c r="R248" s="91">
        <v>0</v>
      </c>
      <c r="S248" s="91">
        <v>0</v>
      </c>
      <c r="T248" s="91">
        <v>0</v>
      </c>
      <c r="U248" s="91">
        <v>0</v>
      </c>
      <c r="V248" s="202">
        <v>0</v>
      </c>
      <c r="W248" s="91">
        <v>0</v>
      </c>
      <c r="X248" s="91">
        <v>0</v>
      </c>
      <c r="Y248" s="91">
        <v>0</v>
      </c>
      <c r="Z248" s="91">
        <v>0</v>
      </c>
      <c r="AA248" s="91">
        <v>0</v>
      </c>
      <c r="AB248" s="91">
        <v>0</v>
      </c>
      <c r="AC248" s="91">
        <v>0</v>
      </c>
      <c r="AD248" s="91">
        <v>0</v>
      </c>
      <c r="AE248" s="91">
        <v>0</v>
      </c>
      <c r="AF248" s="91">
        <v>0</v>
      </c>
      <c r="AG248" s="91">
        <v>0</v>
      </c>
      <c r="AH248" s="84">
        <v>1</v>
      </c>
      <c r="AI248" s="97">
        <f t="shared" si="3"/>
        <v>0</v>
      </c>
    </row>
    <row r="249" spans="1:35">
      <c r="A249" s="55" t="s">
        <v>414</v>
      </c>
      <c r="B249" s="91">
        <v>0</v>
      </c>
      <c r="C249" s="91">
        <v>0</v>
      </c>
      <c r="D249" s="91">
        <v>1</v>
      </c>
      <c r="E249" s="90">
        <v>1</v>
      </c>
      <c r="F249" s="91">
        <v>593</v>
      </c>
      <c r="G249" s="91">
        <v>67</v>
      </c>
      <c r="H249" s="91">
        <v>544</v>
      </c>
      <c r="I249" s="91">
        <v>0</v>
      </c>
      <c r="J249" s="91">
        <v>-18</v>
      </c>
      <c r="K249" s="91">
        <v>634</v>
      </c>
      <c r="L249" s="91">
        <v>544</v>
      </c>
      <c r="M249" s="91">
        <v>518</v>
      </c>
      <c r="N249" s="91">
        <v>676</v>
      </c>
      <c r="O249" s="91">
        <v>529</v>
      </c>
      <c r="P249" s="91">
        <v>17</v>
      </c>
      <c r="Q249" s="91">
        <v>0</v>
      </c>
      <c r="R249" s="91">
        <v>0</v>
      </c>
      <c r="S249" s="91">
        <v>-20</v>
      </c>
      <c r="T249" s="91">
        <v>0</v>
      </c>
      <c r="U249" s="91">
        <v>0</v>
      </c>
      <c r="V249" s="202">
        <v>0</v>
      </c>
      <c r="W249" s="91">
        <v>-2</v>
      </c>
      <c r="X249" s="91">
        <v>0</v>
      </c>
      <c r="Y249" s="91">
        <v>18</v>
      </c>
      <c r="Z249" s="91">
        <v>0</v>
      </c>
      <c r="AA249" s="91">
        <v>0</v>
      </c>
      <c r="AB249" s="91">
        <v>-2</v>
      </c>
      <c r="AC249" s="91">
        <v>-2</v>
      </c>
      <c r="AD249" s="91">
        <v>-2</v>
      </c>
      <c r="AE249" s="91">
        <v>-2</v>
      </c>
      <c r="AF249" s="91">
        <v>-2</v>
      </c>
      <c r="AG249" s="91">
        <v>-8</v>
      </c>
      <c r="AH249" s="84">
        <v>9.3000000000000007</v>
      </c>
      <c r="AI249" s="97">
        <f t="shared" si="3"/>
        <v>526</v>
      </c>
    </row>
    <row r="250" spans="1:35" ht="22.5">
      <c r="A250" s="55" t="s">
        <v>415</v>
      </c>
      <c r="B250" s="91">
        <v>0</v>
      </c>
      <c r="C250" s="91">
        <v>0</v>
      </c>
      <c r="D250" s="91">
        <v>0</v>
      </c>
      <c r="E250" s="90">
        <v>0</v>
      </c>
      <c r="F250" s="91">
        <v>0</v>
      </c>
      <c r="G250" s="91">
        <v>0</v>
      </c>
      <c r="H250" s="91">
        <v>0</v>
      </c>
      <c r="I250" s="91">
        <v>0</v>
      </c>
      <c r="J250" s="91">
        <v>0</v>
      </c>
      <c r="K250" s="91">
        <v>0</v>
      </c>
      <c r="L250" s="91">
        <v>0</v>
      </c>
      <c r="M250" s="91">
        <v>0</v>
      </c>
      <c r="N250" s="91">
        <v>0</v>
      </c>
      <c r="O250" s="91">
        <v>0</v>
      </c>
      <c r="P250" s="91">
        <v>0</v>
      </c>
      <c r="Q250" s="91">
        <v>0</v>
      </c>
      <c r="R250" s="91">
        <v>0</v>
      </c>
      <c r="S250" s="91">
        <v>0</v>
      </c>
      <c r="T250" s="91">
        <v>0</v>
      </c>
      <c r="U250" s="91">
        <v>0</v>
      </c>
      <c r="V250" s="202">
        <v>0</v>
      </c>
      <c r="W250" s="91">
        <v>0</v>
      </c>
      <c r="X250" s="91">
        <v>0</v>
      </c>
      <c r="Y250" s="91">
        <v>0</v>
      </c>
      <c r="Z250" s="91">
        <v>0</v>
      </c>
      <c r="AA250" s="91">
        <v>0</v>
      </c>
      <c r="AB250" s="91">
        <v>0</v>
      </c>
      <c r="AC250" s="91">
        <v>0</v>
      </c>
      <c r="AD250" s="91">
        <v>0</v>
      </c>
      <c r="AE250" s="91">
        <v>0</v>
      </c>
      <c r="AF250" s="91">
        <v>0</v>
      </c>
      <c r="AG250" s="91">
        <v>0</v>
      </c>
      <c r="AH250" s="84">
        <v>1</v>
      </c>
      <c r="AI250" s="97">
        <f t="shared" si="3"/>
        <v>0</v>
      </c>
    </row>
    <row r="251" spans="1:35">
      <c r="A251" s="55" t="s">
        <v>416</v>
      </c>
      <c r="B251" s="91">
        <v>0</v>
      </c>
      <c r="C251" s="91">
        <v>0</v>
      </c>
      <c r="D251" s="91">
        <v>51</v>
      </c>
      <c r="E251" s="90">
        <v>52</v>
      </c>
      <c r="F251" s="91">
        <v>169250</v>
      </c>
      <c r="G251" s="91">
        <v>159432</v>
      </c>
      <c r="H251" s="91">
        <v>18195</v>
      </c>
      <c r="I251" s="91">
        <v>265.23999999999978</v>
      </c>
      <c r="J251" s="91">
        <v>-8377</v>
      </c>
      <c r="K251" s="91">
        <v>183690</v>
      </c>
      <c r="L251" s="91">
        <v>155530</v>
      </c>
      <c r="M251" s="91">
        <v>147461</v>
      </c>
      <c r="N251" s="91">
        <v>195069</v>
      </c>
      <c r="O251" s="91">
        <v>13995</v>
      </c>
      <c r="P251" s="91">
        <v>5064</v>
      </c>
      <c r="Q251" s="91">
        <v>0</v>
      </c>
      <c r="R251" s="91">
        <v>0</v>
      </c>
      <c r="S251" s="91">
        <v>-9241</v>
      </c>
      <c r="T251" s="91">
        <v>0</v>
      </c>
      <c r="U251" s="91">
        <v>0</v>
      </c>
      <c r="V251" s="202">
        <v>0</v>
      </c>
      <c r="W251" s="91">
        <v>-864</v>
      </c>
      <c r="X251" s="91">
        <v>0</v>
      </c>
      <c r="Y251" s="91">
        <v>8377</v>
      </c>
      <c r="Z251" s="91">
        <v>0</v>
      </c>
      <c r="AA251" s="91">
        <v>0</v>
      </c>
      <c r="AB251" s="91">
        <v>-864</v>
      </c>
      <c r="AC251" s="91">
        <v>-864</v>
      </c>
      <c r="AD251" s="91">
        <v>-864</v>
      </c>
      <c r="AE251" s="91">
        <v>-864</v>
      </c>
      <c r="AF251" s="91">
        <v>-864</v>
      </c>
      <c r="AG251" s="91">
        <v>-4057</v>
      </c>
      <c r="AH251" s="84">
        <v>10.7</v>
      </c>
      <c r="AI251" s="97">
        <f t="shared" si="3"/>
        <v>9818</v>
      </c>
    </row>
    <row r="252" spans="1:35">
      <c r="A252" s="55" t="s">
        <v>417</v>
      </c>
      <c r="B252" s="91">
        <v>0</v>
      </c>
      <c r="C252" s="91">
        <v>0</v>
      </c>
      <c r="D252" s="91">
        <v>110</v>
      </c>
      <c r="E252" s="90">
        <v>118</v>
      </c>
      <c r="F252" s="91">
        <v>151929</v>
      </c>
      <c r="G252" s="91">
        <v>139959</v>
      </c>
      <c r="H252" s="91">
        <v>20123</v>
      </c>
      <c r="I252" s="91">
        <v>1929.659999999998</v>
      </c>
      <c r="J252" s="91">
        <v>-8153</v>
      </c>
      <c r="K252" s="91">
        <v>166167</v>
      </c>
      <c r="L252" s="91">
        <v>139011</v>
      </c>
      <c r="M252" s="91">
        <v>131247</v>
      </c>
      <c r="N252" s="91">
        <v>177111</v>
      </c>
      <c r="O252" s="91">
        <v>16462</v>
      </c>
      <c r="P252" s="91">
        <v>4567</v>
      </c>
      <c r="Q252" s="91">
        <v>0</v>
      </c>
      <c r="R252" s="91">
        <v>0</v>
      </c>
      <c r="S252" s="91">
        <v>-9059</v>
      </c>
      <c r="T252" s="91">
        <v>0</v>
      </c>
      <c r="U252" s="91">
        <v>0</v>
      </c>
      <c r="V252" s="202">
        <v>0</v>
      </c>
      <c r="W252" s="91">
        <v>-906</v>
      </c>
      <c r="X252" s="91">
        <v>0</v>
      </c>
      <c r="Y252" s="91">
        <v>8153</v>
      </c>
      <c r="Z252" s="91">
        <v>0</v>
      </c>
      <c r="AA252" s="91">
        <v>0</v>
      </c>
      <c r="AB252" s="91">
        <v>-906</v>
      </c>
      <c r="AC252" s="91">
        <v>-906</v>
      </c>
      <c r="AD252" s="91">
        <v>-906</v>
      </c>
      <c r="AE252" s="91">
        <v>-906</v>
      </c>
      <c r="AF252" s="91">
        <v>-906</v>
      </c>
      <c r="AG252" s="91">
        <v>-3623</v>
      </c>
      <c r="AH252" s="84">
        <v>10</v>
      </c>
      <c r="AI252" s="97">
        <f t="shared" si="3"/>
        <v>11970</v>
      </c>
    </row>
    <row r="253" spans="1:35">
      <c r="A253" s="55" t="s">
        <v>418</v>
      </c>
      <c r="B253" s="91">
        <v>0</v>
      </c>
      <c r="C253" s="91">
        <v>0</v>
      </c>
      <c r="D253" s="91">
        <v>16</v>
      </c>
      <c r="E253" s="90">
        <v>19</v>
      </c>
      <c r="F253" s="91">
        <v>37476</v>
      </c>
      <c r="G253" s="91">
        <v>35328</v>
      </c>
      <c r="H253" s="91">
        <v>4619</v>
      </c>
      <c r="I253" s="91">
        <v>0</v>
      </c>
      <c r="J253" s="91">
        <v>-2471</v>
      </c>
      <c r="K253" s="91">
        <v>41761</v>
      </c>
      <c r="L253" s="91">
        <v>33458</v>
      </c>
      <c r="M253" s="91">
        <v>31216</v>
      </c>
      <c r="N253" s="91">
        <v>45064</v>
      </c>
      <c r="O253" s="91">
        <v>3721</v>
      </c>
      <c r="P253" s="91">
        <v>1140</v>
      </c>
      <c r="Q253" s="91">
        <v>0</v>
      </c>
      <c r="R253" s="91">
        <v>0</v>
      </c>
      <c r="S253" s="91">
        <v>-2713</v>
      </c>
      <c r="T253" s="91">
        <v>0</v>
      </c>
      <c r="U253" s="91">
        <v>0</v>
      </c>
      <c r="V253" s="202">
        <v>0</v>
      </c>
      <c r="W253" s="91">
        <v>-242</v>
      </c>
      <c r="X253" s="91">
        <v>0</v>
      </c>
      <c r="Y253" s="91">
        <v>2471</v>
      </c>
      <c r="Z253" s="91">
        <v>0</v>
      </c>
      <c r="AA253" s="91">
        <v>0</v>
      </c>
      <c r="AB253" s="91">
        <v>-242</v>
      </c>
      <c r="AC253" s="91">
        <v>-242</v>
      </c>
      <c r="AD253" s="91">
        <v>-242</v>
      </c>
      <c r="AE253" s="91">
        <v>-242</v>
      </c>
      <c r="AF253" s="91">
        <v>-242</v>
      </c>
      <c r="AG253" s="91">
        <v>-1261</v>
      </c>
      <c r="AH253" s="84">
        <v>11.2</v>
      </c>
      <c r="AI253" s="97">
        <f t="shared" si="3"/>
        <v>2148</v>
      </c>
    </row>
    <row r="254" spans="1:35" ht="22.5">
      <c r="A254" s="55" t="s">
        <v>419</v>
      </c>
      <c r="B254" s="91">
        <v>0</v>
      </c>
      <c r="C254" s="91">
        <v>0</v>
      </c>
      <c r="D254" s="91">
        <v>0</v>
      </c>
      <c r="E254" s="90">
        <v>0</v>
      </c>
      <c r="F254" s="91">
        <v>0</v>
      </c>
      <c r="G254" s="91">
        <v>0</v>
      </c>
      <c r="H254" s="91">
        <v>0</v>
      </c>
      <c r="I254" s="91">
        <v>0</v>
      </c>
      <c r="J254" s="91">
        <v>0</v>
      </c>
      <c r="K254" s="91">
        <v>0</v>
      </c>
      <c r="L254" s="91">
        <v>0</v>
      </c>
      <c r="M254" s="91">
        <v>0</v>
      </c>
      <c r="N254" s="91">
        <v>0</v>
      </c>
      <c r="O254" s="91">
        <v>0</v>
      </c>
      <c r="P254" s="91">
        <v>0</v>
      </c>
      <c r="Q254" s="91">
        <v>0</v>
      </c>
      <c r="R254" s="91">
        <v>0</v>
      </c>
      <c r="S254" s="91">
        <v>0</v>
      </c>
      <c r="T254" s="91">
        <v>0</v>
      </c>
      <c r="U254" s="91">
        <v>0</v>
      </c>
      <c r="V254" s="202">
        <v>0</v>
      </c>
      <c r="W254" s="91">
        <v>0</v>
      </c>
      <c r="X254" s="91">
        <v>0</v>
      </c>
      <c r="Y254" s="91">
        <v>0</v>
      </c>
      <c r="Z254" s="91">
        <v>0</v>
      </c>
      <c r="AA254" s="91">
        <v>0</v>
      </c>
      <c r="AB254" s="91">
        <v>0</v>
      </c>
      <c r="AC254" s="91">
        <v>0</v>
      </c>
      <c r="AD254" s="91">
        <v>0</v>
      </c>
      <c r="AE254" s="91">
        <v>0</v>
      </c>
      <c r="AF254" s="91">
        <v>0</v>
      </c>
      <c r="AG254" s="91">
        <v>0</v>
      </c>
      <c r="AH254" s="84">
        <v>1</v>
      </c>
      <c r="AI254" s="97">
        <f t="shared" si="3"/>
        <v>0</v>
      </c>
    </row>
    <row r="255" spans="1:35">
      <c r="A255" s="55" t="s">
        <v>420</v>
      </c>
      <c r="B255" s="91">
        <v>0</v>
      </c>
      <c r="C255" s="91">
        <v>0</v>
      </c>
      <c r="D255" s="91">
        <v>1</v>
      </c>
      <c r="E255" s="90">
        <v>1</v>
      </c>
      <c r="F255" s="91">
        <v>1847</v>
      </c>
      <c r="G255" s="91">
        <v>1632</v>
      </c>
      <c r="H255" s="91">
        <v>204</v>
      </c>
      <c r="I255" s="91">
        <v>162.60000000000002</v>
      </c>
      <c r="J255" s="91">
        <v>11</v>
      </c>
      <c r="K255" s="91">
        <v>1821</v>
      </c>
      <c r="L255" s="91">
        <v>1861</v>
      </c>
      <c r="M255" s="91">
        <v>1793</v>
      </c>
      <c r="N255" s="91">
        <v>1903</v>
      </c>
      <c r="O255" s="91">
        <v>147</v>
      </c>
      <c r="P255" s="91">
        <v>52</v>
      </c>
      <c r="Q255" s="91">
        <v>0</v>
      </c>
      <c r="R255" s="91">
        <v>0</v>
      </c>
      <c r="S255" s="91">
        <v>16</v>
      </c>
      <c r="T255" s="91">
        <v>0</v>
      </c>
      <c r="U255" s="91">
        <v>0</v>
      </c>
      <c r="V255" s="202">
        <v>0</v>
      </c>
      <c r="W255" s="91">
        <v>5</v>
      </c>
      <c r="X255" s="91">
        <v>0</v>
      </c>
      <c r="Y255" s="91">
        <v>0</v>
      </c>
      <c r="Z255" s="91">
        <v>0</v>
      </c>
      <c r="AA255" s="91">
        <v>11</v>
      </c>
      <c r="AB255" s="91">
        <v>5</v>
      </c>
      <c r="AC255" s="91">
        <v>5</v>
      </c>
      <c r="AD255" s="91">
        <v>1</v>
      </c>
      <c r="AE255" s="91">
        <v>0</v>
      </c>
      <c r="AF255" s="91">
        <v>0</v>
      </c>
      <c r="AG255" s="91">
        <v>0</v>
      </c>
      <c r="AH255" s="84">
        <v>3</v>
      </c>
      <c r="AI255" s="97">
        <f t="shared" si="3"/>
        <v>215</v>
      </c>
    </row>
    <row r="256" spans="1:35">
      <c r="A256" s="55" t="s">
        <v>421</v>
      </c>
      <c r="B256" s="91">
        <v>0</v>
      </c>
      <c r="C256" s="91">
        <v>0</v>
      </c>
      <c r="D256" s="91">
        <v>0</v>
      </c>
      <c r="E256" s="90">
        <v>0</v>
      </c>
      <c r="F256" s="91">
        <v>0</v>
      </c>
      <c r="G256" s="91">
        <v>0</v>
      </c>
      <c r="H256" s="91">
        <v>0</v>
      </c>
      <c r="I256" s="91">
        <v>0</v>
      </c>
      <c r="J256" s="91">
        <v>0</v>
      </c>
      <c r="K256" s="91">
        <v>0</v>
      </c>
      <c r="L256" s="91">
        <v>0</v>
      </c>
      <c r="M256" s="91">
        <v>0</v>
      </c>
      <c r="N256" s="91">
        <v>0</v>
      </c>
      <c r="O256" s="91">
        <v>0</v>
      </c>
      <c r="P256" s="91">
        <v>0</v>
      </c>
      <c r="Q256" s="91">
        <v>0</v>
      </c>
      <c r="R256" s="91">
        <v>0</v>
      </c>
      <c r="S256" s="91">
        <v>0</v>
      </c>
      <c r="T256" s="91">
        <v>0</v>
      </c>
      <c r="U256" s="91">
        <v>0</v>
      </c>
      <c r="V256" s="202">
        <v>0</v>
      </c>
      <c r="W256" s="91">
        <v>0</v>
      </c>
      <c r="X256" s="91">
        <v>0</v>
      </c>
      <c r="Y256" s="91">
        <v>0</v>
      </c>
      <c r="Z256" s="91">
        <v>0</v>
      </c>
      <c r="AA256" s="91">
        <v>0</v>
      </c>
      <c r="AB256" s="91">
        <v>0</v>
      </c>
      <c r="AC256" s="91">
        <v>0</v>
      </c>
      <c r="AD256" s="91">
        <v>0</v>
      </c>
      <c r="AE256" s="91">
        <v>0</v>
      </c>
      <c r="AF256" s="91">
        <v>0</v>
      </c>
      <c r="AG256" s="91">
        <v>0</v>
      </c>
      <c r="AH256" s="84">
        <v>1</v>
      </c>
      <c r="AI256" s="97">
        <f t="shared" si="3"/>
        <v>0</v>
      </c>
    </row>
    <row r="257" spans="1:35">
      <c r="A257" s="55" t="s">
        <v>422</v>
      </c>
      <c r="B257" s="91">
        <v>0</v>
      </c>
      <c r="C257" s="91">
        <v>0</v>
      </c>
      <c r="D257" s="91">
        <v>59</v>
      </c>
      <c r="E257" s="90">
        <v>60</v>
      </c>
      <c r="F257" s="91">
        <v>74872</v>
      </c>
      <c r="G257" s="91">
        <v>68101</v>
      </c>
      <c r="H257" s="91">
        <v>10673</v>
      </c>
      <c r="I257" s="91">
        <v>457.24999999999977</v>
      </c>
      <c r="J257" s="91">
        <v>-3902</v>
      </c>
      <c r="K257" s="91">
        <v>81955</v>
      </c>
      <c r="L257" s="91">
        <v>68352</v>
      </c>
      <c r="M257" s="91">
        <v>64835</v>
      </c>
      <c r="N257" s="91">
        <v>86862</v>
      </c>
      <c r="O257" s="91">
        <v>8901</v>
      </c>
      <c r="P257" s="91">
        <v>2248</v>
      </c>
      <c r="Q257" s="91">
        <v>0</v>
      </c>
      <c r="R257" s="91">
        <v>0</v>
      </c>
      <c r="S257" s="91">
        <v>-4378</v>
      </c>
      <c r="T257" s="91">
        <v>0</v>
      </c>
      <c r="U257" s="91">
        <v>0</v>
      </c>
      <c r="V257" s="202">
        <v>0</v>
      </c>
      <c r="W257" s="91">
        <v>-476</v>
      </c>
      <c r="X257" s="91">
        <v>0</v>
      </c>
      <c r="Y257" s="91">
        <v>3902</v>
      </c>
      <c r="Z257" s="91">
        <v>0</v>
      </c>
      <c r="AA257" s="91">
        <v>0</v>
      </c>
      <c r="AB257" s="91">
        <v>-476</v>
      </c>
      <c r="AC257" s="91">
        <v>-476</v>
      </c>
      <c r="AD257" s="91">
        <v>-476</v>
      </c>
      <c r="AE257" s="91">
        <v>-476</v>
      </c>
      <c r="AF257" s="91">
        <v>-476</v>
      </c>
      <c r="AG257" s="91">
        <v>-1522</v>
      </c>
      <c r="AH257" s="84">
        <v>9.1999999999999993</v>
      </c>
      <c r="AI257" s="97">
        <f t="shared" si="3"/>
        <v>6771</v>
      </c>
    </row>
    <row r="258" spans="1:35">
      <c r="A258" s="55" t="s">
        <v>423</v>
      </c>
      <c r="B258" s="91">
        <v>0</v>
      </c>
      <c r="C258" s="91">
        <v>0</v>
      </c>
      <c r="D258" s="91">
        <v>25</v>
      </c>
      <c r="E258" s="90">
        <v>29</v>
      </c>
      <c r="F258" s="91">
        <v>65672</v>
      </c>
      <c r="G258" s="91">
        <v>61604</v>
      </c>
      <c r="H258" s="91">
        <v>7849</v>
      </c>
      <c r="I258" s="91">
        <v>569.45000000000005</v>
      </c>
      <c r="J258" s="91">
        <v>-3781</v>
      </c>
      <c r="K258" s="91">
        <v>72215</v>
      </c>
      <c r="L258" s="91">
        <v>59596</v>
      </c>
      <c r="M258" s="91">
        <v>56062</v>
      </c>
      <c r="N258" s="91">
        <v>77367</v>
      </c>
      <c r="O258" s="91">
        <v>6254</v>
      </c>
      <c r="P258" s="91">
        <v>1981</v>
      </c>
      <c r="Q258" s="91">
        <v>0</v>
      </c>
      <c r="R258" s="91">
        <v>0</v>
      </c>
      <c r="S258" s="91">
        <v>-4167</v>
      </c>
      <c r="T258" s="91">
        <v>0</v>
      </c>
      <c r="U258" s="91">
        <v>0</v>
      </c>
      <c r="V258" s="202">
        <v>0</v>
      </c>
      <c r="W258" s="91">
        <v>-386</v>
      </c>
      <c r="X258" s="91">
        <v>0</v>
      </c>
      <c r="Y258" s="91">
        <v>3781</v>
      </c>
      <c r="Z258" s="91">
        <v>0</v>
      </c>
      <c r="AA258" s="91">
        <v>0</v>
      </c>
      <c r="AB258" s="91">
        <v>-386</v>
      </c>
      <c r="AC258" s="91">
        <v>-386</v>
      </c>
      <c r="AD258" s="91">
        <v>-386</v>
      </c>
      <c r="AE258" s="91">
        <v>-386</v>
      </c>
      <c r="AF258" s="91">
        <v>-386</v>
      </c>
      <c r="AG258" s="91">
        <v>-1851</v>
      </c>
      <c r="AH258" s="84">
        <v>10.8</v>
      </c>
      <c r="AI258" s="97">
        <f t="shared" si="3"/>
        <v>4068</v>
      </c>
    </row>
    <row r="259" spans="1:35">
      <c r="A259" s="55" t="s">
        <v>424</v>
      </c>
      <c r="B259" s="91">
        <v>0</v>
      </c>
      <c r="C259" s="91">
        <v>0</v>
      </c>
      <c r="D259" s="91">
        <v>5</v>
      </c>
      <c r="E259" s="90">
        <v>7</v>
      </c>
      <c r="F259" s="91">
        <v>21231</v>
      </c>
      <c r="G259" s="91">
        <v>20089</v>
      </c>
      <c r="H259" s="91">
        <v>1971</v>
      </c>
      <c r="I259" s="91">
        <v>22.659999999999997</v>
      </c>
      <c r="J259" s="91">
        <v>-829</v>
      </c>
      <c r="K259" s="91">
        <v>22645</v>
      </c>
      <c r="L259" s="91">
        <v>19824</v>
      </c>
      <c r="M259" s="91">
        <v>19013</v>
      </c>
      <c r="N259" s="91">
        <v>23767</v>
      </c>
      <c r="O259" s="91">
        <v>1435</v>
      </c>
      <c r="P259" s="91">
        <v>629</v>
      </c>
      <c r="Q259" s="91">
        <v>0</v>
      </c>
      <c r="R259" s="91">
        <v>0</v>
      </c>
      <c r="S259" s="91">
        <v>-922</v>
      </c>
      <c r="T259" s="91">
        <v>0</v>
      </c>
      <c r="U259" s="91">
        <v>0</v>
      </c>
      <c r="V259" s="202">
        <v>0</v>
      </c>
      <c r="W259" s="91">
        <v>-93</v>
      </c>
      <c r="X259" s="91">
        <v>0</v>
      </c>
      <c r="Y259" s="91">
        <v>829</v>
      </c>
      <c r="Z259" s="91">
        <v>0</v>
      </c>
      <c r="AA259" s="91">
        <v>0</v>
      </c>
      <c r="AB259" s="91">
        <v>-93</v>
      </c>
      <c r="AC259" s="91">
        <v>-93</v>
      </c>
      <c r="AD259" s="91">
        <v>-93</v>
      </c>
      <c r="AE259" s="91">
        <v>-93</v>
      </c>
      <c r="AF259" s="91">
        <v>-93</v>
      </c>
      <c r="AG259" s="91">
        <v>-364</v>
      </c>
      <c r="AH259" s="84">
        <v>9.9</v>
      </c>
      <c r="AI259" s="97">
        <f t="shared" si="3"/>
        <v>1142</v>
      </c>
    </row>
    <row r="260" spans="1:35">
      <c r="A260" s="55" t="s">
        <v>425</v>
      </c>
      <c r="B260" s="91">
        <v>0</v>
      </c>
      <c r="C260" s="91">
        <v>0</v>
      </c>
      <c r="D260" s="91">
        <v>0</v>
      </c>
      <c r="E260" s="90">
        <v>0</v>
      </c>
      <c r="F260" s="91">
        <v>0</v>
      </c>
      <c r="G260" s="91">
        <v>0</v>
      </c>
      <c r="H260" s="91">
        <v>0</v>
      </c>
      <c r="I260" s="91">
        <v>0</v>
      </c>
      <c r="J260" s="91">
        <v>0</v>
      </c>
      <c r="K260" s="91">
        <v>0</v>
      </c>
      <c r="L260" s="91">
        <v>0</v>
      </c>
      <c r="M260" s="91">
        <v>0</v>
      </c>
      <c r="N260" s="91">
        <v>0</v>
      </c>
      <c r="O260" s="91">
        <v>0</v>
      </c>
      <c r="P260" s="91">
        <v>0</v>
      </c>
      <c r="Q260" s="91">
        <v>0</v>
      </c>
      <c r="R260" s="91">
        <v>0</v>
      </c>
      <c r="S260" s="91">
        <v>0</v>
      </c>
      <c r="T260" s="91">
        <v>0</v>
      </c>
      <c r="U260" s="91">
        <v>0</v>
      </c>
      <c r="V260" s="202">
        <v>0</v>
      </c>
      <c r="W260" s="91">
        <v>0</v>
      </c>
      <c r="X260" s="91">
        <v>0</v>
      </c>
      <c r="Y260" s="91">
        <v>0</v>
      </c>
      <c r="Z260" s="91">
        <v>0</v>
      </c>
      <c r="AA260" s="91">
        <v>0</v>
      </c>
      <c r="AB260" s="91">
        <v>0</v>
      </c>
      <c r="AC260" s="91">
        <v>0</v>
      </c>
      <c r="AD260" s="91">
        <v>0</v>
      </c>
      <c r="AE260" s="91">
        <v>0</v>
      </c>
      <c r="AF260" s="91">
        <v>0</v>
      </c>
      <c r="AG260" s="91">
        <v>0</v>
      </c>
      <c r="AH260" s="84">
        <v>1</v>
      </c>
      <c r="AI260" s="97">
        <f t="shared" si="3"/>
        <v>0</v>
      </c>
    </row>
    <row r="261" spans="1:35">
      <c r="A261" s="55" t="s">
        <v>426</v>
      </c>
      <c r="B261" s="91">
        <v>0</v>
      </c>
      <c r="C261" s="91">
        <v>0</v>
      </c>
      <c r="D261" s="91">
        <v>10</v>
      </c>
      <c r="E261" s="90">
        <v>11</v>
      </c>
      <c r="F261" s="91">
        <v>0</v>
      </c>
      <c r="G261" s="91">
        <v>0</v>
      </c>
      <c r="H261" s="91">
        <v>0</v>
      </c>
      <c r="I261" s="91">
        <v>0</v>
      </c>
      <c r="J261" s="91">
        <v>0</v>
      </c>
      <c r="K261" s="91">
        <v>0</v>
      </c>
      <c r="L261" s="91">
        <v>0</v>
      </c>
      <c r="M261" s="91">
        <v>0</v>
      </c>
      <c r="N261" s="91">
        <v>0</v>
      </c>
      <c r="O261" s="91">
        <v>0</v>
      </c>
      <c r="P261" s="91">
        <v>0</v>
      </c>
      <c r="Q261" s="91">
        <v>0</v>
      </c>
      <c r="R261" s="91">
        <v>0</v>
      </c>
      <c r="S261" s="91">
        <v>0</v>
      </c>
      <c r="T261" s="91">
        <v>0</v>
      </c>
      <c r="U261" s="91">
        <v>0</v>
      </c>
      <c r="V261" s="202">
        <v>0</v>
      </c>
      <c r="W261" s="91">
        <v>0</v>
      </c>
      <c r="X261" s="91">
        <v>0</v>
      </c>
      <c r="Y261" s="91">
        <v>0</v>
      </c>
      <c r="Z261" s="91">
        <v>0</v>
      </c>
      <c r="AA261" s="91">
        <v>0</v>
      </c>
      <c r="AB261" s="91">
        <v>0</v>
      </c>
      <c r="AC261" s="91">
        <v>0</v>
      </c>
      <c r="AD261" s="91">
        <v>0</v>
      </c>
      <c r="AE261" s="91">
        <v>0</v>
      </c>
      <c r="AF261" s="91">
        <v>0</v>
      </c>
      <c r="AG261" s="91">
        <v>0</v>
      </c>
      <c r="AH261" s="84">
        <v>8.5</v>
      </c>
      <c r="AI261" s="97">
        <f t="shared" ref="AI261:AI324" si="4">O261+P261+Q261+R261+S261-T261</f>
        <v>0</v>
      </c>
    </row>
    <row r="262" spans="1:35">
      <c r="A262" s="55" t="s">
        <v>427</v>
      </c>
      <c r="B262" s="91">
        <v>0</v>
      </c>
      <c r="C262" s="91">
        <v>0</v>
      </c>
      <c r="D262" s="91">
        <v>10</v>
      </c>
      <c r="E262" s="90">
        <v>12</v>
      </c>
      <c r="F262" s="91">
        <v>7949</v>
      </c>
      <c r="G262" s="91">
        <v>6222</v>
      </c>
      <c r="H262" s="91">
        <v>1996</v>
      </c>
      <c r="I262" s="91">
        <v>125.34000000000003</v>
      </c>
      <c r="J262" s="91">
        <v>-269</v>
      </c>
      <c r="K262" s="91">
        <v>8408</v>
      </c>
      <c r="L262" s="91">
        <v>7555</v>
      </c>
      <c r="M262" s="91">
        <v>7250</v>
      </c>
      <c r="N262" s="91">
        <v>8791</v>
      </c>
      <c r="O262" s="91">
        <v>1798</v>
      </c>
      <c r="P262" s="91">
        <v>234</v>
      </c>
      <c r="Q262" s="91">
        <v>0</v>
      </c>
      <c r="R262" s="91">
        <v>0</v>
      </c>
      <c r="S262" s="91">
        <v>-305</v>
      </c>
      <c r="T262" s="91">
        <v>0</v>
      </c>
      <c r="U262" s="91">
        <v>0</v>
      </c>
      <c r="V262" s="202">
        <v>0</v>
      </c>
      <c r="W262" s="91">
        <v>-36</v>
      </c>
      <c r="X262" s="91">
        <v>0</v>
      </c>
      <c r="Y262" s="91">
        <v>269</v>
      </c>
      <c r="Z262" s="91">
        <v>0</v>
      </c>
      <c r="AA262" s="91">
        <v>0</v>
      </c>
      <c r="AB262" s="91">
        <v>-36</v>
      </c>
      <c r="AC262" s="91">
        <v>-36</v>
      </c>
      <c r="AD262" s="91">
        <v>-36</v>
      </c>
      <c r="AE262" s="91">
        <v>-36</v>
      </c>
      <c r="AF262" s="91">
        <v>-36</v>
      </c>
      <c r="AG262" s="91">
        <v>-89</v>
      </c>
      <c r="AH262" s="84">
        <v>8.5</v>
      </c>
      <c r="AI262" s="97">
        <f t="shared" si="4"/>
        <v>1727</v>
      </c>
    </row>
    <row r="263" spans="1:35" ht="22.5">
      <c r="A263" s="55" t="s">
        <v>428</v>
      </c>
      <c r="B263" s="91">
        <v>0</v>
      </c>
      <c r="C263" s="91">
        <v>0</v>
      </c>
      <c r="D263" s="91">
        <v>16</v>
      </c>
      <c r="E263" s="90">
        <v>21</v>
      </c>
      <c r="F263" s="91">
        <v>8590</v>
      </c>
      <c r="G263" s="91">
        <v>4927</v>
      </c>
      <c r="H263" s="91">
        <v>4064</v>
      </c>
      <c r="I263" s="91">
        <v>0.48000000000000043</v>
      </c>
      <c r="J263" s="91">
        <v>-401</v>
      </c>
      <c r="K263" s="91">
        <v>9234</v>
      </c>
      <c r="L263" s="91">
        <v>7991</v>
      </c>
      <c r="M263" s="91">
        <v>7546</v>
      </c>
      <c r="N263" s="91">
        <v>9879</v>
      </c>
      <c r="O263" s="91">
        <v>3849</v>
      </c>
      <c r="P263" s="91">
        <v>256</v>
      </c>
      <c r="Q263" s="91">
        <v>0</v>
      </c>
      <c r="R263" s="91">
        <v>0</v>
      </c>
      <c r="S263" s="91">
        <v>-442</v>
      </c>
      <c r="T263" s="91">
        <v>0</v>
      </c>
      <c r="U263" s="91">
        <v>0</v>
      </c>
      <c r="V263" s="202">
        <v>0</v>
      </c>
      <c r="W263" s="91">
        <v>-41</v>
      </c>
      <c r="X263" s="91">
        <v>0</v>
      </c>
      <c r="Y263" s="91">
        <v>401</v>
      </c>
      <c r="Z263" s="91">
        <v>0</v>
      </c>
      <c r="AA263" s="91">
        <v>0</v>
      </c>
      <c r="AB263" s="91">
        <v>-41</v>
      </c>
      <c r="AC263" s="91">
        <v>-41</v>
      </c>
      <c r="AD263" s="91">
        <v>-41</v>
      </c>
      <c r="AE263" s="91">
        <v>-41</v>
      </c>
      <c r="AF263" s="91">
        <v>-41</v>
      </c>
      <c r="AG263" s="91">
        <v>-196</v>
      </c>
      <c r="AH263" s="84">
        <v>10.7</v>
      </c>
      <c r="AI263" s="97">
        <f t="shared" si="4"/>
        <v>3663</v>
      </c>
    </row>
    <row r="264" spans="1:35">
      <c r="A264" s="55" t="s">
        <v>429</v>
      </c>
      <c r="B264" s="91">
        <v>0</v>
      </c>
      <c r="C264" s="91">
        <v>0</v>
      </c>
      <c r="D264" s="91">
        <v>5</v>
      </c>
      <c r="E264" s="90">
        <v>5</v>
      </c>
      <c r="F264" s="91">
        <v>15634</v>
      </c>
      <c r="G264" s="91">
        <v>14578</v>
      </c>
      <c r="H264" s="91">
        <v>1631</v>
      </c>
      <c r="I264" s="91">
        <v>37.369999999999976</v>
      </c>
      <c r="J264" s="91">
        <v>-575</v>
      </c>
      <c r="K264" s="91">
        <v>16659</v>
      </c>
      <c r="L264" s="91">
        <v>14613</v>
      </c>
      <c r="M264" s="91">
        <v>13926</v>
      </c>
      <c r="N264" s="91">
        <v>17621</v>
      </c>
      <c r="O264" s="91">
        <v>1248</v>
      </c>
      <c r="P264" s="91">
        <v>462</v>
      </c>
      <c r="Q264" s="91">
        <v>0</v>
      </c>
      <c r="R264" s="91">
        <v>0</v>
      </c>
      <c r="S264" s="91">
        <v>-654</v>
      </c>
      <c r="T264" s="91">
        <v>0</v>
      </c>
      <c r="U264" s="91">
        <v>0</v>
      </c>
      <c r="V264" s="202">
        <v>0</v>
      </c>
      <c r="W264" s="91">
        <v>-79</v>
      </c>
      <c r="X264" s="91">
        <v>0</v>
      </c>
      <c r="Y264" s="91">
        <v>575</v>
      </c>
      <c r="Z264" s="91">
        <v>0</v>
      </c>
      <c r="AA264" s="91">
        <v>0</v>
      </c>
      <c r="AB264" s="91">
        <v>-79</v>
      </c>
      <c r="AC264" s="91">
        <v>-79</v>
      </c>
      <c r="AD264" s="91">
        <v>-79</v>
      </c>
      <c r="AE264" s="91">
        <v>-79</v>
      </c>
      <c r="AF264" s="91">
        <v>-79</v>
      </c>
      <c r="AG264" s="91">
        <v>-180</v>
      </c>
      <c r="AH264" s="84">
        <v>8.3000000000000007</v>
      </c>
      <c r="AI264" s="97">
        <f t="shared" si="4"/>
        <v>1056</v>
      </c>
    </row>
    <row r="265" spans="1:35">
      <c r="A265" s="55" t="s">
        <v>430</v>
      </c>
      <c r="B265" s="91">
        <v>0</v>
      </c>
      <c r="C265" s="91">
        <v>0</v>
      </c>
      <c r="D265" s="91">
        <v>0</v>
      </c>
      <c r="E265" s="90">
        <v>0</v>
      </c>
      <c r="F265" s="91">
        <v>0</v>
      </c>
      <c r="G265" s="91">
        <v>0</v>
      </c>
      <c r="H265" s="91">
        <v>0</v>
      </c>
      <c r="I265" s="91">
        <v>0</v>
      </c>
      <c r="J265" s="91">
        <v>0</v>
      </c>
      <c r="K265" s="91">
        <v>0</v>
      </c>
      <c r="L265" s="91">
        <v>0</v>
      </c>
      <c r="M265" s="91">
        <v>0</v>
      </c>
      <c r="N265" s="91">
        <v>0</v>
      </c>
      <c r="O265" s="91">
        <v>0</v>
      </c>
      <c r="P265" s="91">
        <v>0</v>
      </c>
      <c r="Q265" s="91">
        <v>0</v>
      </c>
      <c r="R265" s="91">
        <v>0</v>
      </c>
      <c r="S265" s="91">
        <v>0</v>
      </c>
      <c r="T265" s="91">
        <v>0</v>
      </c>
      <c r="U265" s="91">
        <v>0</v>
      </c>
      <c r="V265" s="202">
        <v>0</v>
      </c>
      <c r="W265" s="91">
        <v>0</v>
      </c>
      <c r="X265" s="91">
        <v>0</v>
      </c>
      <c r="Y265" s="91">
        <v>0</v>
      </c>
      <c r="Z265" s="91">
        <v>0</v>
      </c>
      <c r="AA265" s="91">
        <v>0</v>
      </c>
      <c r="AB265" s="91">
        <v>0</v>
      </c>
      <c r="AC265" s="91">
        <v>0</v>
      </c>
      <c r="AD265" s="91">
        <v>0</v>
      </c>
      <c r="AE265" s="91">
        <v>0</v>
      </c>
      <c r="AF265" s="91">
        <v>0</v>
      </c>
      <c r="AG265" s="91">
        <v>0</v>
      </c>
      <c r="AH265" s="84">
        <v>1</v>
      </c>
      <c r="AI265" s="97">
        <f t="shared" si="4"/>
        <v>0</v>
      </c>
    </row>
    <row r="266" spans="1:35" ht="22.5">
      <c r="A266" s="55" t="s">
        <v>431</v>
      </c>
      <c r="B266" s="91">
        <v>0</v>
      </c>
      <c r="C266" s="91">
        <v>0</v>
      </c>
      <c r="D266" s="91">
        <v>0</v>
      </c>
      <c r="E266" s="90">
        <v>0</v>
      </c>
      <c r="F266" s="91">
        <v>0</v>
      </c>
      <c r="G266" s="91">
        <v>0</v>
      </c>
      <c r="H266" s="91">
        <v>0</v>
      </c>
      <c r="I266" s="91">
        <v>0</v>
      </c>
      <c r="J266" s="91">
        <v>0</v>
      </c>
      <c r="K266" s="91">
        <v>0</v>
      </c>
      <c r="L266" s="91">
        <v>0</v>
      </c>
      <c r="M266" s="91">
        <v>0</v>
      </c>
      <c r="N266" s="91">
        <v>0</v>
      </c>
      <c r="O266" s="91">
        <v>0</v>
      </c>
      <c r="P266" s="91">
        <v>0</v>
      </c>
      <c r="Q266" s="91">
        <v>0</v>
      </c>
      <c r="R266" s="91">
        <v>0</v>
      </c>
      <c r="S266" s="91">
        <v>0</v>
      </c>
      <c r="T266" s="91">
        <v>0</v>
      </c>
      <c r="U266" s="91">
        <v>0</v>
      </c>
      <c r="V266" s="202">
        <v>0</v>
      </c>
      <c r="W266" s="91">
        <v>0</v>
      </c>
      <c r="X266" s="91">
        <v>0</v>
      </c>
      <c r="Y266" s="91">
        <v>0</v>
      </c>
      <c r="Z266" s="91">
        <v>0</v>
      </c>
      <c r="AA266" s="91">
        <v>0</v>
      </c>
      <c r="AB266" s="91">
        <v>0</v>
      </c>
      <c r="AC266" s="91">
        <v>0</v>
      </c>
      <c r="AD266" s="91">
        <v>0</v>
      </c>
      <c r="AE266" s="91">
        <v>0</v>
      </c>
      <c r="AF266" s="91">
        <v>0</v>
      </c>
      <c r="AG266" s="91">
        <v>0</v>
      </c>
      <c r="AH266" s="84">
        <v>1</v>
      </c>
      <c r="AI266" s="97">
        <f t="shared" si="4"/>
        <v>0</v>
      </c>
    </row>
    <row r="267" spans="1:35">
      <c r="A267" s="55" t="s">
        <v>432</v>
      </c>
      <c r="B267" s="91">
        <v>0</v>
      </c>
      <c r="C267" s="91">
        <v>0</v>
      </c>
      <c r="D267" s="91">
        <v>0</v>
      </c>
      <c r="E267" s="90">
        <v>0</v>
      </c>
      <c r="F267" s="91">
        <v>0</v>
      </c>
      <c r="G267" s="91">
        <v>0</v>
      </c>
      <c r="H267" s="91">
        <v>0</v>
      </c>
      <c r="I267" s="91">
        <v>0</v>
      </c>
      <c r="J267" s="91">
        <v>0</v>
      </c>
      <c r="K267" s="91">
        <v>0</v>
      </c>
      <c r="L267" s="91">
        <v>0</v>
      </c>
      <c r="M267" s="91">
        <v>0</v>
      </c>
      <c r="N267" s="91">
        <v>0</v>
      </c>
      <c r="O267" s="91">
        <v>0</v>
      </c>
      <c r="P267" s="91">
        <v>0</v>
      </c>
      <c r="Q267" s="91">
        <v>0</v>
      </c>
      <c r="R267" s="91">
        <v>0</v>
      </c>
      <c r="S267" s="91">
        <v>0</v>
      </c>
      <c r="T267" s="91">
        <v>0</v>
      </c>
      <c r="U267" s="91">
        <v>0</v>
      </c>
      <c r="V267" s="202">
        <v>0</v>
      </c>
      <c r="W267" s="91">
        <v>0</v>
      </c>
      <c r="X267" s="91">
        <v>0</v>
      </c>
      <c r="Y267" s="91">
        <v>0</v>
      </c>
      <c r="Z267" s="91">
        <v>0</v>
      </c>
      <c r="AA267" s="91">
        <v>0</v>
      </c>
      <c r="AB267" s="91">
        <v>0</v>
      </c>
      <c r="AC267" s="91">
        <v>0</v>
      </c>
      <c r="AD267" s="91">
        <v>0</v>
      </c>
      <c r="AE267" s="91">
        <v>0</v>
      </c>
      <c r="AF267" s="91">
        <v>0</v>
      </c>
      <c r="AG267" s="91">
        <v>0</v>
      </c>
      <c r="AH267" s="84">
        <v>1</v>
      </c>
      <c r="AI267" s="97">
        <f t="shared" si="4"/>
        <v>0</v>
      </c>
    </row>
    <row r="268" spans="1:35">
      <c r="A268" s="55" t="s">
        <v>433</v>
      </c>
      <c r="B268" s="91">
        <v>0</v>
      </c>
      <c r="C268" s="91">
        <v>0</v>
      </c>
      <c r="D268" s="91">
        <v>11</v>
      </c>
      <c r="E268" s="90">
        <v>11</v>
      </c>
      <c r="F268" s="91">
        <v>10842</v>
      </c>
      <c r="G268" s="91">
        <v>9600</v>
      </c>
      <c r="H268" s="91">
        <v>1981</v>
      </c>
      <c r="I268" s="91">
        <v>209.31</v>
      </c>
      <c r="J268" s="91">
        <v>-739</v>
      </c>
      <c r="K268" s="91">
        <v>12152</v>
      </c>
      <c r="L268" s="91">
        <v>9733</v>
      </c>
      <c r="M268" s="91">
        <v>9070</v>
      </c>
      <c r="N268" s="91">
        <v>13218</v>
      </c>
      <c r="O268" s="91">
        <v>1723</v>
      </c>
      <c r="P268" s="91">
        <v>331</v>
      </c>
      <c r="Q268" s="91">
        <v>0</v>
      </c>
      <c r="R268" s="91">
        <v>0</v>
      </c>
      <c r="S268" s="91">
        <v>-812</v>
      </c>
      <c r="T268" s="91">
        <v>0</v>
      </c>
      <c r="U268" s="91">
        <v>0</v>
      </c>
      <c r="V268" s="202">
        <v>0</v>
      </c>
      <c r="W268" s="91">
        <v>-73</v>
      </c>
      <c r="X268" s="91">
        <v>0</v>
      </c>
      <c r="Y268" s="91">
        <v>739</v>
      </c>
      <c r="Z268" s="91">
        <v>0</v>
      </c>
      <c r="AA268" s="91">
        <v>0</v>
      </c>
      <c r="AB268" s="91">
        <v>-73</v>
      </c>
      <c r="AC268" s="91">
        <v>-73</v>
      </c>
      <c r="AD268" s="91">
        <v>-73</v>
      </c>
      <c r="AE268" s="91">
        <v>-73</v>
      </c>
      <c r="AF268" s="91">
        <v>-73</v>
      </c>
      <c r="AG268" s="91">
        <v>-374</v>
      </c>
      <c r="AH268" s="84">
        <v>11.1</v>
      </c>
      <c r="AI268" s="97">
        <f t="shared" si="4"/>
        <v>1242</v>
      </c>
    </row>
    <row r="269" spans="1:35">
      <c r="A269" s="55" t="s">
        <v>434</v>
      </c>
      <c r="B269" s="91">
        <v>0</v>
      </c>
      <c r="C269" s="91">
        <v>0</v>
      </c>
      <c r="D269" s="91">
        <v>0</v>
      </c>
      <c r="E269" s="90">
        <v>0</v>
      </c>
      <c r="F269" s="91">
        <v>0</v>
      </c>
      <c r="G269" s="91">
        <v>0</v>
      </c>
      <c r="H269" s="91">
        <v>0</v>
      </c>
      <c r="I269" s="91">
        <v>0</v>
      </c>
      <c r="J269" s="91">
        <v>0</v>
      </c>
      <c r="K269" s="91">
        <v>0</v>
      </c>
      <c r="L269" s="91">
        <v>0</v>
      </c>
      <c r="M269" s="91">
        <v>0</v>
      </c>
      <c r="N269" s="91">
        <v>0</v>
      </c>
      <c r="O269" s="91">
        <v>0</v>
      </c>
      <c r="P269" s="91">
        <v>0</v>
      </c>
      <c r="Q269" s="91">
        <v>0</v>
      </c>
      <c r="R269" s="91">
        <v>0</v>
      </c>
      <c r="S269" s="91">
        <v>0</v>
      </c>
      <c r="T269" s="91">
        <v>0</v>
      </c>
      <c r="U269" s="91">
        <v>0</v>
      </c>
      <c r="V269" s="202">
        <v>0</v>
      </c>
      <c r="W269" s="91">
        <v>0</v>
      </c>
      <c r="X269" s="91">
        <v>0</v>
      </c>
      <c r="Y269" s="91">
        <v>0</v>
      </c>
      <c r="Z269" s="91">
        <v>0</v>
      </c>
      <c r="AA269" s="91">
        <v>0</v>
      </c>
      <c r="AB269" s="91">
        <v>0</v>
      </c>
      <c r="AC269" s="91">
        <v>0</v>
      </c>
      <c r="AD269" s="91">
        <v>0</v>
      </c>
      <c r="AE269" s="91">
        <v>0</v>
      </c>
      <c r="AF269" s="91">
        <v>0</v>
      </c>
      <c r="AG269" s="91">
        <v>0</v>
      </c>
      <c r="AH269" s="84">
        <v>1</v>
      </c>
      <c r="AI269" s="97">
        <f t="shared" si="4"/>
        <v>0</v>
      </c>
    </row>
    <row r="270" spans="1:35">
      <c r="A270" s="55" t="s">
        <v>435</v>
      </c>
      <c r="B270" s="91">
        <v>0</v>
      </c>
      <c r="C270" s="91">
        <v>0</v>
      </c>
      <c r="D270" s="91">
        <v>77</v>
      </c>
      <c r="E270" s="90">
        <v>86</v>
      </c>
      <c r="F270" s="91">
        <v>79878</v>
      </c>
      <c r="G270" s="91">
        <v>69236</v>
      </c>
      <c r="H270" s="91">
        <v>13234</v>
      </c>
      <c r="I270" s="91">
        <v>930.1599999999994</v>
      </c>
      <c r="J270" s="91">
        <v>-2592</v>
      </c>
      <c r="K270" s="91">
        <v>84371</v>
      </c>
      <c r="L270" s="91">
        <v>75514</v>
      </c>
      <c r="M270" s="91">
        <v>71985</v>
      </c>
      <c r="N270" s="91">
        <v>88997</v>
      </c>
      <c r="O270" s="91">
        <v>11213</v>
      </c>
      <c r="P270" s="91">
        <v>2349</v>
      </c>
      <c r="Q270" s="91">
        <v>0</v>
      </c>
      <c r="R270" s="91">
        <v>0</v>
      </c>
      <c r="S270" s="91">
        <v>-2920</v>
      </c>
      <c r="T270" s="91">
        <v>0</v>
      </c>
      <c r="U270" s="91">
        <v>0</v>
      </c>
      <c r="V270" s="202">
        <v>0</v>
      </c>
      <c r="W270" s="91">
        <v>-328</v>
      </c>
      <c r="X270" s="91">
        <v>0</v>
      </c>
      <c r="Y270" s="91">
        <v>2592</v>
      </c>
      <c r="Z270" s="91">
        <v>0</v>
      </c>
      <c r="AA270" s="91">
        <v>0</v>
      </c>
      <c r="AB270" s="91">
        <v>-328</v>
      </c>
      <c r="AC270" s="91">
        <v>-328</v>
      </c>
      <c r="AD270" s="91">
        <v>-328</v>
      </c>
      <c r="AE270" s="91">
        <v>-328</v>
      </c>
      <c r="AF270" s="91">
        <v>-328</v>
      </c>
      <c r="AG270" s="91">
        <v>-952</v>
      </c>
      <c r="AH270" s="84">
        <v>8.9</v>
      </c>
      <c r="AI270" s="97">
        <f t="shared" si="4"/>
        <v>10642</v>
      </c>
    </row>
    <row r="271" spans="1:35" ht="22.5">
      <c r="A271" s="55" t="s">
        <v>436</v>
      </c>
      <c r="B271" s="91">
        <v>0</v>
      </c>
      <c r="C271" s="91">
        <v>0</v>
      </c>
      <c r="D271" s="91">
        <v>9</v>
      </c>
      <c r="E271" s="90">
        <v>10</v>
      </c>
      <c r="F271" s="91">
        <v>10223</v>
      </c>
      <c r="G271" s="91">
        <v>9195</v>
      </c>
      <c r="H271" s="91">
        <v>1624</v>
      </c>
      <c r="I271" s="91">
        <v>0</v>
      </c>
      <c r="J271" s="91">
        <v>-596</v>
      </c>
      <c r="K271" s="91">
        <v>11223</v>
      </c>
      <c r="L271" s="91">
        <v>9245</v>
      </c>
      <c r="M271" s="91">
        <v>8669</v>
      </c>
      <c r="N271" s="91">
        <v>12006</v>
      </c>
      <c r="O271" s="91">
        <v>1373</v>
      </c>
      <c r="P271" s="91">
        <v>309</v>
      </c>
      <c r="Q271" s="91">
        <v>0</v>
      </c>
      <c r="R271" s="91">
        <v>0</v>
      </c>
      <c r="S271" s="91">
        <v>-654</v>
      </c>
      <c r="T271" s="91">
        <v>0</v>
      </c>
      <c r="U271" s="91">
        <v>0</v>
      </c>
      <c r="V271" s="202">
        <v>0</v>
      </c>
      <c r="W271" s="91">
        <v>-58</v>
      </c>
      <c r="X271" s="91">
        <v>0</v>
      </c>
      <c r="Y271" s="91">
        <v>596</v>
      </c>
      <c r="Z271" s="91">
        <v>0</v>
      </c>
      <c r="AA271" s="91">
        <v>0</v>
      </c>
      <c r="AB271" s="91">
        <v>-58</v>
      </c>
      <c r="AC271" s="91">
        <v>-58</v>
      </c>
      <c r="AD271" s="91">
        <v>-58</v>
      </c>
      <c r="AE271" s="91">
        <v>-58</v>
      </c>
      <c r="AF271" s="91">
        <v>-58</v>
      </c>
      <c r="AG271" s="91">
        <v>-306</v>
      </c>
      <c r="AH271" s="84">
        <v>11.2</v>
      </c>
      <c r="AI271" s="97">
        <f t="shared" si="4"/>
        <v>1028</v>
      </c>
    </row>
    <row r="272" spans="1:35">
      <c r="A272" s="55" t="s">
        <v>437</v>
      </c>
      <c r="B272" s="91">
        <v>0</v>
      </c>
      <c r="C272" s="91">
        <v>0</v>
      </c>
      <c r="D272" s="91">
        <v>34</v>
      </c>
      <c r="E272" s="90">
        <v>43</v>
      </c>
      <c r="F272" s="91">
        <v>18089</v>
      </c>
      <c r="G272" s="91">
        <v>15081</v>
      </c>
      <c r="H272" s="91">
        <v>3664</v>
      </c>
      <c r="I272" s="91">
        <v>25.829999999999956</v>
      </c>
      <c r="J272" s="91">
        <v>-656</v>
      </c>
      <c r="K272" s="91">
        <v>19216</v>
      </c>
      <c r="L272" s="91">
        <v>17005</v>
      </c>
      <c r="M272" s="91">
        <v>16180</v>
      </c>
      <c r="N272" s="91">
        <v>20321</v>
      </c>
      <c r="O272" s="91">
        <v>3215</v>
      </c>
      <c r="P272" s="91">
        <v>534</v>
      </c>
      <c r="Q272" s="91">
        <v>0</v>
      </c>
      <c r="R272" s="91">
        <v>0</v>
      </c>
      <c r="S272" s="91">
        <v>-741</v>
      </c>
      <c r="T272" s="91">
        <v>0</v>
      </c>
      <c r="U272" s="91">
        <v>0</v>
      </c>
      <c r="V272" s="202">
        <v>0</v>
      </c>
      <c r="W272" s="91">
        <v>-85</v>
      </c>
      <c r="X272" s="91">
        <v>0</v>
      </c>
      <c r="Y272" s="91">
        <v>656</v>
      </c>
      <c r="Z272" s="91">
        <v>0</v>
      </c>
      <c r="AA272" s="91">
        <v>0</v>
      </c>
      <c r="AB272" s="91">
        <v>-85</v>
      </c>
      <c r="AC272" s="91">
        <v>-85</v>
      </c>
      <c r="AD272" s="91">
        <v>-85</v>
      </c>
      <c r="AE272" s="91">
        <v>-85</v>
      </c>
      <c r="AF272" s="91">
        <v>-85</v>
      </c>
      <c r="AG272" s="91">
        <v>-231</v>
      </c>
      <c r="AH272" s="84">
        <v>8.6999999999999993</v>
      </c>
      <c r="AI272" s="97">
        <f t="shared" si="4"/>
        <v>3008</v>
      </c>
    </row>
    <row r="273" spans="1:35">
      <c r="A273" s="55" t="s">
        <v>438</v>
      </c>
      <c r="B273" s="91">
        <v>0</v>
      </c>
      <c r="C273" s="91">
        <v>0</v>
      </c>
      <c r="D273" s="91">
        <v>6</v>
      </c>
      <c r="E273" s="90">
        <v>6</v>
      </c>
      <c r="F273" s="91">
        <v>5323</v>
      </c>
      <c r="G273" s="91">
        <v>4982</v>
      </c>
      <c r="H273" s="91">
        <v>712</v>
      </c>
      <c r="I273" s="91">
        <v>2.8100000000000005</v>
      </c>
      <c r="J273" s="91">
        <v>-371</v>
      </c>
      <c r="K273" s="91">
        <v>6014</v>
      </c>
      <c r="L273" s="91">
        <v>4686</v>
      </c>
      <c r="M273" s="91">
        <v>4384</v>
      </c>
      <c r="N273" s="91">
        <v>6476</v>
      </c>
      <c r="O273" s="91">
        <v>613</v>
      </c>
      <c r="P273" s="91">
        <v>163</v>
      </c>
      <c r="Q273" s="91">
        <v>0</v>
      </c>
      <c r="R273" s="91">
        <v>0</v>
      </c>
      <c r="S273" s="91">
        <v>-435</v>
      </c>
      <c r="T273" s="91">
        <v>0</v>
      </c>
      <c r="U273" s="91">
        <v>0</v>
      </c>
      <c r="V273" s="202">
        <v>0</v>
      </c>
      <c r="W273" s="91">
        <v>-64</v>
      </c>
      <c r="X273" s="91">
        <v>0</v>
      </c>
      <c r="Y273" s="91">
        <v>371</v>
      </c>
      <c r="Z273" s="91">
        <v>0</v>
      </c>
      <c r="AA273" s="91">
        <v>0</v>
      </c>
      <c r="AB273" s="91">
        <v>-64</v>
      </c>
      <c r="AC273" s="91">
        <v>-64</v>
      </c>
      <c r="AD273" s="91">
        <v>-64</v>
      </c>
      <c r="AE273" s="91">
        <v>-64</v>
      </c>
      <c r="AF273" s="91">
        <v>-64</v>
      </c>
      <c r="AG273" s="91">
        <v>-51</v>
      </c>
      <c r="AH273" s="84">
        <v>6.8</v>
      </c>
      <c r="AI273" s="97">
        <f t="shared" si="4"/>
        <v>341</v>
      </c>
    </row>
    <row r="274" spans="1:35">
      <c r="A274" s="55" t="s">
        <v>439</v>
      </c>
      <c r="B274" s="91">
        <v>0</v>
      </c>
      <c r="C274" s="91">
        <v>0</v>
      </c>
      <c r="D274" s="91">
        <v>0</v>
      </c>
      <c r="E274" s="90">
        <v>0</v>
      </c>
      <c r="F274" s="91">
        <v>0</v>
      </c>
      <c r="G274" s="91">
        <v>0</v>
      </c>
      <c r="H274" s="91">
        <v>0</v>
      </c>
      <c r="I274" s="91">
        <v>0</v>
      </c>
      <c r="J274" s="91">
        <v>0</v>
      </c>
      <c r="K274" s="91">
        <v>0</v>
      </c>
      <c r="L274" s="91">
        <v>0</v>
      </c>
      <c r="M274" s="91">
        <v>0</v>
      </c>
      <c r="N274" s="91">
        <v>0</v>
      </c>
      <c r="O274" s="91">
        <v>0</v>
      </c>
      <c r="P274" s="91">
        <v>0</v>
      </c>
      <c r="Q274" s="91">
        <v>0</v>
      </c>
      <c r="R274" s="91">
        <v>0</v>
      </c>
      <c r="S274" s="91">
        <v>0</v>
      </c>
      <c r="T274" s="91">
        <v>0</v>
      </c>
      <c r="U274" s="91">
        <v>0</v>
      </c>
      <c r="V274" s="202">
        <v>0</v>
      </c>
      <c r="W274" s="91">
        <v>0</v>
      </c>
      <c r="X274" s="91">
        <v>0</v>
      </c>
      <c r="Y274" s="91">
        <v>0</v>
      </c>
      <c r="Z274" s="91">
        <v>0</v>
      </c>
      <c r="AA274" s="91">
        <v>0</v>
      </c>
      <c r="AB274" s="91">
        <v>0</v>
      </c>
      <c r="AC274" s="91">
        <v>0</v>
      </c>
      <c r="AD274" s="91">
        <v>0</v>
      </c>
      <c r="AE274" s="91">
        <v>0</v>
      </c>
      <c r="AF274" s="91">
        <v>0</v>
      </c>
      <c r="AG274" s="91">
        <v>0</v>
      </c>
      <c r="AH274" s="84">
        <v>1</v>
      </c>
      <c r="AI274" s="97">
        <f t="shared" si="4"/>
        <v>0</v>
      </c>
    </row>
    <row r="275" spans="1:35">
      <c r="A275" s="55" t="s">
        <v>440</v>
      </c>
      <c r="B275" s="91">
        <v>0</v>
      </c>
      <c r="C275" s="91">
        <v>0</v>
      </c>
      <c r="D275" s="91">
        <v>1</v>
      </c>
      <c r="E275" s="90">
        <v>1</v>
      </c>
      <c r="F275" s="91">
        <v>5284</v>
      </c>
      <c r="G275" s="91">
        <v>4812</v>
      </c>
      <c r="H275" s="91">
        <v>539</v>
      </c>
      <c r="I275" s="91">
        <v>30.900000000000006</v>
      </c>
      <c r="J275" s="91">
        <v>-67</v>
      </c>
      <c r="K275" s="91">
        <v>5416</v>
      </c>
      <c r="L275" s="91">
        <v>5145</v>
      </c>
      <c r="M275" s="91">
        <v>4996</v>
      </c>
      <c r="N275" s="91">
        <v>5592</v>
      </c>
      <c r="O275" s="91">
        <v>408</v>
      </c>
      <c r="P275" s="91">
        <v>152</v>
      </c>
      <c r="Q275" s="91">
        <v>0</v>
      </c>
      <c r="R275" s="91">
        <v>0</v>
      </c>
      <c r="S275" s="91">
        <v>-88</v>
      </c>
      <c r="T275" s="91">
        <v>0</v>
      </c>
      <c r="U275" s="91">
        <v>0</v>
      </c>
      <c r="V275" s="202">
        <v>0</v>
      </c>
      <c r="W275" s="91">
        <v>-21</v>
      </c>
      <c r="X275" s="91">
        <v>0</v>
      </c>
      <c r="Y275" s="91">
        <v>67</v>
      </c>
      <c r="Z275" s="91">
        <v>0</v>
      </c>
      <c r="AA275" s="91">
        <v>0</v>
      </c>
      <c r="AB275" s="91">
        <v>-21</v>
      </c>
      <c r="AC275" s="91">
        <v>-21</v>
      </c>
      <c r="AD275" s="91">
        <v>-21</v>
      </c>
      <c r="AE275" s="91">
        <v>-4</v>
      </c>
      <c r="AF275" s="91">
        <v>0</v>
      </c>
      <c r="AG275" s="91">
        <v>0</v>
      </c>
      <c r="AH275" s="84">
        <v>4.2</v>
      </c>
      <c r="AI275" s="97">
        <f t="shared" si="4"/>
        <v>472</v>
      </c>
    </row>
    <row r="276" spans="1:35">
      <c r="A276" s="55" t="s">
        <v>441</v>
      </c>
      <c r="B276" s="91">
        <v>0</v>
      </c>
      <c r="C276" s="91">
        <v>0</v>
      </c>
      <c r="D276" s="91">
        <v>8</v>
      </c>
      <c r="E276" s="90">
        <v>8</v>
      </c>
      <c r="F276" s="91">
        <v>94574</v>
      </c>
      <c r="G276" s="91">
        <v>89984</v>
      </c>
      <c r="H276" s="91">
        <v>6757</v>
      </c>
      <c r="I276" s="91">
        <v>596.05999999999972</v>
      </c>
      <c r="J276" s="91">
        <v>-2167</v>
      </c>
      <c r="K276" s="91">
        <v>98417</v>
      </c>
      <c r="L276" s="91">
        <v>90613</v>
      </c>
      <c r="M276" s="91">
        <v>87722</v>
      </c>
      <c r="N276" s="91">
        <v>101985</v>
      </c>
      <c r="O276" s="91">
        <v>4301</v>
      </c>
      <c r="P276" s="91">
        <v>2753</v>
      </c>
      <c r="Q276" s="91">
        <v>0</v>
      </c>
      <c r="R276" s="91">
        <v>0</v>
      </c>
      <c r="S276" s="91">
        <v>-2464</v>
      </c>
      <c r="T276" s="91">
        <v>0</v>
      </c>
      <c r="U276" s="91">
        <v>0</v>
      </c>
      <c r="V276" s="202">
        <v>0</v>
      </c>
      <c r="W276" s="91">
        <v>-297</v>
      </c>
      <c r="X276" s="91">
        <v>0</v>
      </c>
      <c r="Y276" s="91">
        <v>2167</v>
      </c>
      <c r="Z276" s="91">
        <v>0</v>
      </c>
      <c r="AA276" s="91">
        <v>0</v>
      </c>
      <c r="AB276" s="91">
        <v>-297</v>
      </c>
      <c r="AC276" s="91">
        <v>-297</v>
      </c>
      <c r="AD276" s="91">
        <v>-297</v>
      </c>
      <c r="AE276" s="91">
        <v>-297</v>
      </c>
      <c r="AF276" s="91">
        <v>-297</v>
      </c>
      <c r="AG276" s="91">
        <v>-682</v>
      </c>
      <c r="AH276" s="84">
        <v>8.3000000000000007</v>
      </c>
      <c r="AI276" s="97">
        <f t="shared" si="4"/>
        <v>4590</v>
      </c>
    </row>
    <row r="277" spans="1:35">
      <c r="A277" s="55" t="s">
        <v>442</v>
      </c>
      <c r="B277" s="91">
        <v>0</v>
      </c>
      <c r="C277" s="91">
        <v>0</v>
      </c>
      <c r="D277" s="91">
        <v>1</v>
      </c>
      <c r="E277" s="90">
        <v>1</v>
      </c>
      <c r="F277" s="91">
        <v>5833</v>
      </c>
      <c r="G277" s="91">
        <v>6030</v>
      </c>
      <c r="H277" s="91">
        <v>357</v>
      </c>
      <c r="I277" s="91">
        <v>0</v>
      </c>
      <c r="J277" s="91">
        <v>-554</v>
      </c>
      <c r="K277" s="91">
        <v>6782</v>
      </c>
      <c r="L277" s="91">
        <v>5005</v>
      </c>
      <c r="M277" s="91">
        <v>4704</v>
      </c>
      <c r="N277" s="91">
        <v>7248</v>
      </c>
      <c r="O277" s="91">
        <v>221</v>
      </c>
      <c r="P277" s="91">
        <v>183</v>
      </c>
      <c r="Q277" s="91">
        <v>0</v>
      </c>
      <c r="R277" s="91">
        <v>0</v>
      </c>
      <c r="S277" s="91">
        <v>-601</v>
      </c>
      <c r="T277" s="91">
        <v>0</v>
      </c>
      <c r="U277" s="91">
        <v>0</v>
      </c>
      <c r="V277" s="202">
        <v>0</v>
      </c>
      <c r="W277" s="91">
        <v>-47</v>
      </c>
      <c r="X277" s="91">
        <v>0</v>
      </c>
      <c r="Y277" s="91">
        <v>554</v>
      </c>
      <c r="Z277" s="91">
        <v>0</v>
      </c>
      <c r="AA277" s="91">
        <v>0</v>
      </c>
      <c r="AB277" s="91">
        <v>-47</v>
      </c>
      <c r="AC277" s="91">
        <v>-47</v>
      </c>
      <c r="AD277" s="91">
        <v>-47</v>
      </c>
      <c r="AE277" s="91">
        <v>-47</v>
      </c>
      <c r="AF277" s="91">
        <v>-47</v>
      </c>
      <c r="AG277" s="91">
        <v>-319</v>
      </c>
      <c r="AH277" s="84">
        <v>12.7</v>
      </c>
      <c r="AI277" s="97">
        <f t="shared" si="4"/>
        <v>-197</v>
      </c>
    </row>
    <row r="278" spans="1:35">
      <c r="A278" s="55" t="s">
        <v>443</v>
      </c>
      <c r="B278" s="91">
        <v>0</v>
      </c>
      <c r="C278" s="91">
        <v>0</v>
      </c>
      <c r="D278" s="91">
        <v>14</v>
      </c>
      <c r="E278" s="90">
        <v>14</v>
      </c>
      <c r="F278" s="91">
        <v>29306</v>
      </c>
      <c r="G278" s="91">
        <v>27728</v>
      </c>
      <c r="H278" s="91">
        <v>3859</v>
      </c>
      <c r="I278" s="91">
        <v>25.150000000000006</v>
      </c>
      <c r="J278" s="91">
        <v>-2281</v>
      </c>
      <c r="K278" s="91">
        <v>33217</v>
      </c>
      <c r="L278" s="91">
        <v>25858</v>
      </c>
      <c r="M278" s="91">
        <v>24115</v>
      </c>
      <c r="N278" s="91">
        <v>35927</v>
      </c>
      <c r="O278" s="91">
        <v>3159</v>
      </c>
      <c r="P278" s="91">
        <v>902</v>
      </c>
      <c r="Q278" s="91">
        <v>0</v>
      </c>
      <c r="R278" s="91">
        <v>0</v>
      </c>
      <c r="S278" s="91">
        <v>-2483</v>
      </c>
      <c r="T278" s="91">
        <v>0</v>
      </c>
      <c r="U278" s="91">
        <v>0</v>
      </c>
      <c r="V278" s="202">
        <v>0</v>
      </c>
      <c r="W278" s="91">
        <v>-202</v>
      </c>
      <c r="X278" s="91">
        <v>0</v>
      </c>
      <c r="Y278" s="91">
        <v>2281</v>
      </c>
      <c r="Z278" s="91">
        <v>0</v>
      </c>
      <c r="AA278" s="91">
        <v>0</v>
      </c>
      <c r="AB278" s="91">
        <v>-202</v>
      </c>
      <c r="AC278" s="91">
        <v>-202</v>
      </c>
      <c r="AD278" s="91">
        <v>-202</v>
      </c>
      <c r="AE278" s="91">
        <v>-202</v>
      </c>
      <c r="AF278" s="91">
        <v>-202</v>
      </c>
      <c r="AG278" s="91">
        <v>-1271</v>
      </c>
      <c r="AH278" s="84">
        <v>12.3</v>
      </c>
      <c r="AI278" s="97">
        <f t="shared" si="4"/>
        <v>1578</v>
      </c>
    </row>
    <row r="279" spans="1:35">
      <c r="A279" s="55" t="s">
        <v>444</v>
      </c>
      <c r="B279" s="91">
        <v>3</v>
      </c>
      <c r="C279" s="91">
        <v>0</v>
      </c>
      <c r="D279" s="91">
        <v>344</v>
      </c>
      <c r="E279" s="90">
        <v>385</v>
      </c>
      <c r="F279" s="91">
        <v>1050702</v>
      </c>
      <c r="G279" s="91">
        <v>1007876</v>
      </c>
      <c r="H279" s="91">
        <v>106723</v>
      </c>
      <c r="I279" s="91">
        <v>20885.559999999976</v>
      </c>
      <c r="J279" s="91">
        <v>-48636</v>
      </c>
      <c r="K279" s="91">
        <v>1137100</v>
      </c>
      <c r="L279" s="91">
        <v>969005</v>
      </c>
      <c r="M279" s="91">
        <v>922968</v>
      </c>
      <c r="N279" s="91">
        <v>1201734</v>
      </c>
      <c r="O279" s="91">
        <v>81150</v>
      </c>
      <c r="P279" s="91">
        <v>31577</v>
      </c>
      <c r="Q279" s="91">
        <v>0</v>
      </c>
      <c r="R279" s="91">
        <v>0</v>
      </c>
      <c r="S279" s="91">
        <v>-54640</v>
      </c>
      <c r="T279" s="91">
        <v>15261</v>
      </c>
      <c r="U279" s="91">
        <v>0</v>
      </c>
      <c r="V279" s="202">
        <v>0</v>
      </c>
      <c r="W279" s="91">
        <v>-6004</v>
      </c>
      <c r="X279" s="91">
        <v>0</v>
      </c>
      <c r="Y279" s="91">
        <v>48636</v>
      </c>
      <c r="Z279" s="91">
        <v>0</v>
      </c>
      <c r="AA279" s="91">
        <v>0</v>
      </c>
      <c r="AB279" s="91">
        <v>-6004</v>
      </c>
      <c r="AC279" s="91">
        <v>-6004</v>
      </c>
      <c r="AD279" s="91">
        <v>-6004</v>
      </c>
      <c r="AE279" s="91">
        <v>-6004</v>
      </c>
      <c r="AF279" s="91">
        <v>-6004</v>
      </c>
      <c r="AG279" s="91">
        <v>-18616</v>
      </c>
      <c r="AH279" s="84">
        <v>9.1</v>
      </c>
      <c r="AI279" s="97">
        <f t="shared" si="4"/>
        <v>42826</v>
      </c>
    </row>
    <row r="280" spans="1:35">
      <c r="A280" s="55" t="s">
        <v>445</v>
      </c>
      <c r="B280" s="91">
        <v>2</v>
      </c>
      <c r="C280" s="91">
        <v>0</v>
      </c>
      <c r="D280" s="91">
        <v>117</v>
      </c>
      <c r="E280" s="90">
        <v>134</v>
      </c>
      <c r="F280" s="91">
        <v>625554</v>
      </c>
      <c r="G280" s="91">
        <v>615772</v>
      </c>
      <c r="H280" s="91">
        <v>67300</v>
      </c>
      <c r="I280" s="91">
        <v>20935.45</v>
      </c>
      <c r="J280" s="91">
        <v>-36756</v>
      </c>
      <c r="K280" s="91">
        <v>690301</v>
      </c>
      <c r="L280" s="91">
        <v>565026</v>
      </c>
      <c r="M280" s="91">
        <v>529111</v>
      </c>
      <c r="N280" s="91">
        <v>743103</v>
      </c>
      <c r="O280" s="91">
        <v>52320</v>
      </c>
      <c r="P280" s="91">
        <v>19205</v>
      </c>
      <c r="Q280" s="91">
        <v>0</v>
      </c>
      <c r="R280" s="91">
        <v>0</v>
      </c>
      <c r="S280" s="91">
        <v>-40981</v>
      </c>
      <c r="T280" s="91">
        <v>20762</v>
      </c>
      <c r="U280" s="91">
        <v>0</v>
      </c>
      <c r="V280" s="202">
        <v>0</v>
      </c>
      <c r="W280" s="91">
        <v>-4225</v>
      </c>
      <c r="X280" s="91">
        <v>0</v>
      </c>
      <c r="Y280" s="91">
        <v>36756</v>
      </c>
      <c r="Z280" s="91">
        <v>0</v>
      </c>
      <c r="AA280" s="91">
        <v>0</v>
      </c>
      <c r="AB280" s="91">
        <v>-4225</v>
      </c>
      <c r="AC280" s="91">
        <v>-4225</v>
      </c>
      <c r="AD280" s="91">
        <v>-4225</v>
      </c>
      <c r="AE280" s="91">
        <v>-4225</v>
      </c>
      <c r="AF280" s="91">
        <v>-4225</v>
      </c>
      <c r="AG280" s="91">
        <v>-15631</v>
      </c>
      <c r="AH280" s="84">
        <v>9.6999999999999993</v>
      </c>
      <c r="AI280" s="97">
        <f t="shared" si="4"/>
        <v>9782</v>
      </c>
    </row>
    <row r="281" spans="1:35" ht="22.5">
      <c r="A281" s="55" t="s">
        <v>446</v>
      </c>
      <c r="B281" s="91">
        <v>0</v>
      </c>
      <c r="C281" s="91">
        <v>0</v>
      </c>
      <c r="D281" s="91">
        <v>6</v>
      </c>
      <c r="E281" s="90">
        <v>7</v>
      </c>
      <c r="F281" s="91">
        <v>8007</v>
      </c>
      <c r="G281" s="91">
        <v>7082</v>
      </c>
      <c r="H281" s="91">
        <v>1488</v>
      </c>
      <c r="I281" s="91">
        <v>0</v>
      </c>
      <c r="J281" s="91">
        <v>-563</v>
      </c>
      <c r="K281" s="91">
        <v>8920</v>
      </c>
      <c r="L281" s="91">
        <v>7126</v>
      </c>
      <c r="M281" s="91">
        <v>6611</v>
      </c>
      <c r="N281" s="91">
        <v>9794</v>
      </c>
      <c r="O281" s="91">
        <v>1289</v>
      </c>
      <c r="P281" s="91">
        <v>244</v>
      </c>
      <c r="Q281" s="91">
        <v>0</v>
      </c>
      <c r="R281" s="91">
        <v>0</v>
      </c>
      <c r="S281" s="91">
        <v>-608</v>
      </c>
      <c r="T281" s="91">
        <v>0</v>
      </c>
      <c r="U281" s="91">
        <v>0</v>
      </c>
      <c r="V281" s="202">
        <v>0</v>
      </c>
      <c r="W281" s="91">
        <v>-45</v>
      </c>
      <c r="X281" s="91">
        <v>0</v>
      </c>
      <c r="Y281" s="91">
        <v>563</v>
      </c>
      <c r="Z281" s="91">
        <v>0</v>
      </c>
      <c r="AA281" s="91">
        <v>0</v>
      </c>
      <c r="AB281" s="91">
        <v>-45</v>
      </c>
      <c r="AC281" s="91">
        <v>-45</v>
      </c>
      <c r="AD281" s="91">
        <v>-45</v>
      </c>
      <c r="AE281" s="91">
        <v>-45</v>
      </c>
      <c r="AF281" s="91">
        <v>-45</v>
      </c>
      <c r="AG281" s="91">
        <v>-338</v>
      </c>
      <c r="AH281" s="84">
        <v>13.5</v>
      </c>
      <c r="AI281" s="97">
        <f t="shared" si="4"/>
        <v>925</v>
      </c>
    </row>
    <row r="282" spans="1:35">
      <c r="A282" s="55" t="s">
        <v>447</v>
      </c>
      <c r="B282" s="91">
        <v>0</v>
      </c>
      <c r="C282" s="91">
        <v>0</v>
      </c>
      <c r="D282" s="91">
        <v>1</v>
      </c>
      <c r="E282" s="90">
        <v>1</v>
      </c>
      <c r="F282" s="91">
        <v>2053</v>
      </c>
      <c r="G282" s="91">
        <v>1790</v>
      </c>
      <c r="H282" s="91">
        <v>263</v>
      </c>
      <c r="I282" s="91">
        <v>337.45000000000005</v>
      </c>
      <c r="J282" s="91">
        <v>0</v>
      </c>
      <c r="K282" s="91">
        <v>2074</v>
      </c>
      <c r="L282" s="91">
        <v>2029</v>
      </c>
      <c r="M282" s="91">
        <v>2012</v>
      </c>
      <c r="N282" s="91">
        <v>2093</v>
      </c>
      <c r="O282" s="91">
        <v>216</v>
      </c>
      <c r="P282" s="91">
        <v>59</v>
      </c>
      <c r="Q282" s="91">
        <v>0</v>
      </c>
      <c r="R282" s="91">
        <v>0</v>
      </c>
      <c r="S282" s="91">
        <v>-12</v>
      </c>
      <c r="T282" s="91">
        <v>0</v>
      </c>
      <c r="U282" s="91">
        <v>0</v>
      </c>
      <c r="V282" s="202">
        <v>0</v>
      </c>
      <c r="W282" s="91">
        <v>-12</v>
      </c>
      <c r="X282" s="91">
        <v>0</v>
      </c>
      <c r="Y282" s="91">
        <v>0</v>
      </c>
      <c r="Z282" s="91">
        <v>0</v>
      </c>
      <c r="AA282" s="91">
        <v>0</v>
      </c>
      <c r="AB282" s="91">
        <v>0</v>
      </c>
      <c r="AC282" s="91">
        <v>0</v>
      </c>
      <c r="AD282" s="91">
        <v>0</v>
      </c>
      <c r="AE282" s="91">
        <v>0</v>
      </c>
      <c r="AF282" s="91">
        <v>0</v>
      </c>
      <c r="AG282" s="91">
        <v>0</v>
      </c>
      <c r="AH282" s="84">
        <v>1</v>
      </c>
      <c r="AI282" s="97">
        <f t="shared" si="4"/>
        <v>263</v>
      </c>
    </row>
    <row r="283" spans="1:35">
      <c r="A283" s="55" t="s">
        <v>448</v>
      </c>
      <c r="B283" s="91">
        <v>0</v>
      </c>
      <c r="C283" s="91">
        <v>0</v>
      </c>
      <c r="D283" s="91">
        <v>16</v>
      </c>
      <c r="E283" s="90">
        <v>19</v>
      </c>
      <c r="F283" s="91">
        <v>942</v>
      </c>
      <c r="G283" s="91">
        <v>374</v>
      </c>
      <c r="H283" s="91">
        <v>636</v>
      </c>
      <c r="I283" s="91">
        <v>0</v>
      </c>
      <c r="J283" s="91">
        <v>-68</v>
      </c>
      <c r="K283" s="91">
        <v>1077</v>
      </c>
      <c r="L283" s="91">
        <v>828</v>
      </c>
      <c r="M283" s="91">
        <v>735</v>
      </c>
      <c r="N283" s="91">
        <v>1201</v>
      </c>
      <c r="O283" s="91">
        <v>615</v>
      </c>
      <c r="P283" s="91">
        <v>29</v>
      </c>
      <c r="Q283" s="91">
        <v>0</v>
      </c>
      <c r="R283" s="91">
        <v>0</v>
      </c>
      <c r="S283" s="91">
        <v>-76</v>
      </c>
      <c r="T283" s="91">
        <v>0</v>
      </c>
      <c r="U283" s="91">
        <v>0</v>
      </c>
      <c r="V283" s="202">
        <v>0</v>
      </c>
      <c r="W283" s="91">
        <v>-8</v>
      </c>
      <c r="X283" s="91">
        <v>0</v>
      </c>
      <c r="Y283" s="91">
        <v>68</v>
      </c>
      <c r="Z283" s="91">
        <v>0</v>
      </c>
      <c r="AA283" s="91">
        <v>0</v>
      </c>
      <c r="AB283" s="91">
        <v>-8</v>
      </c>
      <c r="AC283" s="91">
        <v>-8</v>
      </c>
      <c r="AD283" s="91">
        <v>-8</v>
      </c>
      <c r="AE283" s="91">
        <v>-8</v>
      </c>
      <c r="AF283" s="91">
        <v>-8</v>
      </c>
      <c r="AG283" s="91">
        <v>-28</v>
      </c>
      <c r="AH283" s="84">
        <v>9.4</v>
      </c>
      <c r="AI283" s="97">
        <f t="shared" si="4"/>
        <v>568</v>
      </c>
    </row>
    <row r="284" spans="1:35">
      <c r="A284" s="55" t="s">
        <v>449</v>
      </c>
      <c r="B284" s="91">
        <v>0</v>
      </c>
      <c r="C284" s="91">
        <v>0</v>
      </c>
      <c r="D284" s="91">
        <v>0</v>
      </c>
      <c r="E284" s="90">
        <v>0</v>
      </c>
      <c r="F284" s="91">
        <v>0</v>
      </c>
      <c r="G284" s="91">
        <v>0</v>
      </c>
      <c r="H284" s="91">
        <v>0</v>
      </c>
      <c r="I284" s="91">
        <v>0</v>
      </c>
      <c r="J284" s="91">
        <v>0</v>
      </c>
      <c r="K284" s="91">
        <v>0</v>
      </c>
      <c r="L284" s="91">
        <v>0</v>
      </c>
      <c r="M284" s="91">
        <v>0</v>
      </c>
      <c r="N284" s="91">
        <v>0</v>
      </c>
      <c r="O284" s="91">
        <v>0</v>
      </c>
      <c r="P284" s="91">
        <v>0</v>
      </c>
      <c r="Q284" s="91">
        <v>0</v>
      </c>
      <c r="R284" s="91">
        <v>0</v>
      </c>
      <c r="S284" s="91">
        <v>0</v>
      </c>
      <c r="T284" s="91">
        <v>0</v>
      </c>
      <c r="U284" s="91">
        <v>0</v>
      </c>
      <c r="V284" s="202">
        <v>0</v>
      </c>
      <c r="W284" s="91">
        <v>0</v>
      </c>
      <c r="X284" s="91">
        <v>0</v>
      </c>
      <c r="Y284" s="91">
        <v>0</v>
      </c>
      <c r="Z284" s="91">
        <v>0</v>
      </c>
      <c r="AA284" s="91">
        <v>0</v>
      </c>
      <c r="AB284" s="91">
        <v>0</v>
      </c>
      <c r="AC284" s="91">
        <v>0</v>
      </c>
      <c r="AD284" s="91">
        <v>0</v>
      </c>
      <c r="AE284" s="91">
        <v>0</v>
      </c>
      <c r="AF284" s="91">
        <v>0</v>
      </c>
      <c r="AG284" s="91">
        <v>0</v>
      </c>
      <c r="AH284" s="84">
        <v>1</v>
      </c>
      <c r="AI284" s="97">
        <f t="shared" si="4"/>
        <v>0</v>
      </c>
    </row>
    <row r="285" spans="1:35">
      <c r="A285" s="55" t="s">
        <v>450</v>
      </c>
      <c r="B285" s="91">
        <v>1</v>
      </c>
      <c r="C285" s="91">
        <v>0</v>
      </c>
      <c r="D285" s="91">
        <v>16</v>
      </c>
      <c r="E285" s="90">
        <v>20</v>
      </c>
      <c r="F285" s="91">
        <v>34402</v>
      </c>
      <c r="G285" s="91">
        <v>36671</v>
      </c>
      <c r="H285" s="91">
        <v>3556</v>
      </c>
      <c r="I285" s="91">
        <v>3144.7700000000004</v>
      </c>
      <c r="J285" s="91">
        <v>-1598</v>
      </c>
      <c r="K285" s="91">
        <v>37308</v>
      </c>
      <c r="L285" s="91">
        <v>31887</v>
      </c>
      <c r="M285" s="91">
        <v>30221</v>
      </c>
      <c r="N285" s="91">
        <v>39550</v>
      </c>
      <c r="O285" s="91">
        <v>2690</v>
      </c>
      <c r="P285" s="91">
        <v>1088</v>
      </c>
      <c r="Q285" s="91">
        <v>0</v>
      </c>
      <c r="R285" s="91">
        <v>0</v>
      </c>
      <c r="S285" s="91">
        <v>-1820</v>
      </c>
      <c r="T285" s="91">
        <v>4227</v>
      </c>
      <c r="U285" s="91">
        <v>0</v>
      </c>
      <c r="V285" s="202">
        <v>0</v>
      </c>
      <c r="W285" s="91">
        <v>-222</v>
      </c>
      <c r="X285" s="91">
        <v>0</v>
      </c>
      <c r="Y285" s="91">
        <v>1598</v>
      </c>
      <c r="Z285" s="91">
        <v>0</v>
      </c>
      <c r="AA285" s="91">
        <v>0</v>
      </c>
      <c r="AB285" s="91">
        <v>-222</v>
      </c>
      <c r="AC285" s="91">
        <v>-222</v>
      </c>
      <c r="AD285" s="91">
        <v>-222</v>
      </c>
      <c r="AE285" s="91">
        <v>-222</v>
      </c>
      <c r="AF285" s="91">
        <v>-222</v>
      </c>
      <c r="AG285" s="91">
        <v>-488</v>
      </c>
      <c r="AH285" s="84">
        <v>8.1999999999999993</v>
      </c>
      <c r="AI285" s="97">
        <f t="shared" si="4"/>
        <v>-2269</v>
      </c>
    </row>
    <row r="286" spans="1:35">
      <c r="A286" s="55" t="s">
        <v>451</v>
      </c>
      <c r="B286" s="91">
        <v>0</v>
      </c>
      <c r="C286" s="91">
        <v>0</v>
      </c>
      <c r="D286" s="91">
        <v>329</v>
      </c>
      <c r="E286" s="90">
        <v>363</v>
      </c>
      <c r="F286" s="91">
        <v>676982</v>
      </c>
      <c r="G286" s="91">
        <v>626424</v>
      </c>
      <c r="H286" s="91">
        <v>80561</v>
      </c>
      <c r="I286" s="91">
        <v>5036.2900000000154</v>
      </c>
      <c r="J286" s="91">
        <v>-30003</v>
      </c>
      <c r="K286" s="91">
        <v>730196</v>
      </c>
      <c r="L286" s="91">
        <v>626987</v>
      </c>
      <c r="M286" s="91">
        <v>595156</v>
      </c>
      <c r="N286" s="91">
        <v>774200</v>
      </c>
      <c r="O286" s="91">
        <v>64146</v>
      </c>
      <c r="P286" s="91">
        <v>20165</v>
      </c>
      <c r="Q286" s="91">
        <v>0</v>
      </c>
      <c r="R286" s="91">
        <v>0</v>
      </c>
      <c r="S286" s="91">
        <v>-33753</v>
      </c>
      <c r="T286" s="91">
        <v>0</v>
      </c>
      <c r="U286" s="91">
        <v>0</v>
      </c>
      <c r="V286" s="202">
        <v>0</v>
      </c>
      <c r="W286" s="91">
        <v>-3750</v>
      </c>
      <c r="X286" s="91">
        <v>0</v>
      </c>
      <c r="Y286" s="91">
        <v>30003</v>
      </c>
      <c r="Z286" s="91">
        <v>0</v>
      </c>
      <c r="AA286" s="91">
        <v>0</v>
      </c>
      <c r="AB286" s="91">
        <v>-3750</v>
      </c>
      <c r="AC286" s="91">
        <v>-3750</v>
      </c>
      <c r="AD286" s="91">
        <v>-3750</v>
      </c>
      <c r="AE286" s="91">
        <v>-3750</v>
      </c>
      <c r="AF286" s="91">
        <v>-3750</v>
      </c>
      <c r="AG286" s="91">
        <v>-11253</v>
      </c>
      <c r="AH286" s="84">
        <v>9</v>
      </c>
      <c r="AI286" s="97">
        <f t="shared" si="4"/>
        <v>50558</v>
      </c>
    </row>
    <row r="287" spans="1:35">
      <c r="A287" s="55" t="s">
        <v>452</v>
      </c>
      <c r="B287" s="91">
        <v>0</v>
      </c>
      <c r="C287" s="91">
        <v>0</v>
      </c>
      <c r="D287" s="91">
        <v>4</v>
      </c>
      <c r="E287" s="90">
        <v>5</v>
      </c>
      <c r="F287" s="91">
        <v>5106</v>
      </c>
      <c r="G287" s="91">
        <v>4781</v>
      </c>
      <c r="H287" s="91">
        <v>527</v>
      </c>
      <c r="I287" s="91">
        <v>162.14000000000004</v>
      </c>
      <c r="J287" s="91">
        <v>-202</v>
      </c>
      <c r="K287" s="91">
        <v>5440</v>
      </c>
      <c r="L287" s="91">
        <v>4778</v>
      </c>
      <c r="M287" s="91">
        <v>4467</v>
      </c>
      <c r="N287" s="91">
        <v>5891</v>
      </c>
      <c r="O287" s="91">
        <v>404</v>
      </c>
      <c r="P287" s="91">
        <v>151</v>
      </c>
      <c r="Q287" s="91">
        <v>0</v>
      </c>
      <c r="R287" s="91">
        <v>0</v>
      </c>
      <c r="S287" s="91">
        <v>-230</v>
      </c>
      <c r="T287" s="91">
        <v>0</v>
      </c>
      <c r="U287" s="91">
        <v>0</v>
      </c>
      <c r="V287" s="202">
        <v>0</v>
      </c>
      <c r="W287" s="91">
        <v>-28</v>
      </c>
      <c r="X287" s="91">
        <v>0</v>
      </c>
      <c r="Y287" s="91">
        <v>202</v>
      </c>
      <c r="Z287" s="91">
        <v>0</v>
      </c>
      <c r="AA287" s="91">
        <v>0</v>
      </c>
      <c r="AB287" s="91">
        <v>-28</v>
      </c>
      <c r="AC287" s="91">
        <v>-28</v>
      </c>
      <c r="AD287" s="91">
        <v>-28</v>
      </c>
      <c r="AE287" s="91">
        <v>-28</v>
      </c>
      <c r="AF287" s="91">
        <v>-28</v>
      </c>
      <c r="AG287" s="91">
        <v>-62</v>
      </c>
      <c r="AH287" s="84">
        <v>8.1999999999999993</v>
      </c>
      <c r="AI287" s="97">
        <f t="shared" si="4"/>
        <v>325</v>
      </c>
    </row>
    <row r="288" spans="1:35">
      <c r="A288" s="55" t="s">
        <v>453</v>
      </c>
      <c r="B288" s="91">
        <v>2</v>
      </c>
      <c r="C288" s="91">
        <v>0</v>
      </c>
      <c r="D288" s="91">
        <v>15</v>
      </c>
      <c r="E288" s="90">
        <v>15</v>
      </c>
      <c r="F288" s="91">
        <v>48965</v>
      </c>
      <c r="G288" s="91">
        <v>54473</v>
      </c>
      <c r="H288" s="91">
        <v>4857</v>
      </c>
      <c r="I288" s="91">
        <v>8130.1099999999988</v>
      </c>
      <c r="J288" s="91">
        <v>-1625</v>
      </c>
      <c r="K288" s="91">
        <v>51855</v>
      </c>
      <c r="L288" s="91">
        <v>46207</v>
      </c>
      <c r="M288" s="91">
        <v>44379</v>
      </c>
      <c r="N288" s="91">
        <v>54427</v>
      </c>
      <c r="O288" s="91">
        <v>3509</v>
      </c>
      <c r="P288" s="91">
        <v>1565</v>
      </c>
      <c r="Q288" s="91">
        <v>0</v>
      </c>
      <c r="R288" s="91">
        <v>0</v>
      </c>
      <c r="S288" s="91">
        <v>-1842</v>
      </c>
      <c r="T288" s="91">
        <v>8740</v>
      </c>
      <c r="U288" s="91">
        <v>0</v>
      </c>
      <c r="V288" s="202">
        <v>0</v>
      </c>
      <c r="W288" s="91">
        <v>-217</v>
      </c>
      <c r="X288" s="91">
        <v>0</v>
      </c>
      <c r="Y288" s="91">
        <v>1625</v>
      </c>
      <c r="Z288" s="91">
        <v>0</v>
      </c>
      <c r="AA288" s="91">
        <v>0</v>
      </c>
      <c r="AB288" s="91">
        <v>-217</v>
      </c>
      <c r="AC288" s="91">
        <v>-217</v>
      </c>
      <c r="AD288" s="91">
        <v>-217</v>
      </c>
      <c r="AE288" s="91">
        <v>-217</v>
      </c>
      <c r="AF288" s="91">
        <v>-217</v>
      </c>
      <c r="AG288" s="91">
        <v>-540</v>
      </c>
      <c r="AH288" s="84">
        <v>8.5</v>
      </c>
      <c r="AI288" s="97">
        <f t="shared" si="4"/>
        <v>-5508</v>
      </c>
    </row>
    <row r="289" spans="1:35">
      <c r="A289" s="55" t="s">
        <v>454</v>
      </c>
      <c r="B289" s="91">
        <v>1</v>
      </c>
      <c r="C289" s="91">
        <v>0</v>
      </c>
      <c r="D289" s="91">
        <v>229</v>
      </c>
      <c r="E289" s="90">
        <v>241</v>
      </c>
      <c r="F289" s="91">
        <v>508228</v>
      </c>
      <c r="G289" s="91">
        <v>478310</v>
      </c>
      <c r="H289" s="91">
        <v>59503</v>
      </c>
      <c r="I289" s="91">
        <v>8124.9999999999927</v>
      </c>
      <c r="J289" s="91">
        <v>-24792</v>
      </c>
      <c r="K289" s="91">
        <v>552002</v>
      </c>
      <c r="L289" s="91">
        <v>467451</v>
      </c>
      <c r="M289" s="91">
        <v>443520</v>
      </c>
      <c r="N289" s="91">
        <v>586424</v>
      </c>
      <c r="O289" s="91">
        <v>46959</v>
      </c>
      <c r="P289" s="91">
        <v>15268</v>
      </c>
      <c r="Q289" s="91">
        <v>0</v>
      </c>
      <c r="R289" s="91">
        <v>0</v>
      </c>
      <c r="S289" s="91">
        <v>-27516</v>
      </c>
      <c r="T289" s="91">
        <v>4793</v>
      </c>
      <c r="U289" s="91">
        <v>0</v>
      </c>
      <c r="V289" s="202">
        <v>0</v>
      </c>
      <c r="W289" s="91">
        <v>-2724</v>
      </c>
      <c r="X289" s="91">
        <v>0</v>
      </c>
      <c r="Y289" s="91">
        <v>24792</v>
      </c>
      <c r="Z289" s="91">
        <v>0</v>
      </c>
      <c r="AA289" s="91">
        <v>0</v>
      </c>
      <c r="AB289" s="91">
        <v>-2724</v>
      </c>
      <c r="AC289" s="91">
        <v>-2724</v>
      </c>
      <c r="AD289" s="91">
        <v>-2724</v>
      </c>
      <c r="AE289" s="91">
        <v>-2724</v>
      </c>
      <c r="AF289" s="91">
        <v>-2724</v>
      </c>
      <c r="AG289" s="91">
        <v>-11172</v>
      </c>
      <c r="AH289" s="84">
        <v>10.1</v>
      </c>
      <c r="AI289" s="97">
        <f t="shared" si="4"/>
        <v>29918</v>
      </c>
    </row>
    <row r="290" spans="1:35" ht="22.5">
      <c r="A290" s="55" t="s">
        <v>455</v>
      </c>
      <c r="B290" s="91">
        <v>0</v>
      </c>
      <c r="C290" s="91">
        <v>0</v>
      </c>
      <c r="D290" s="91">
        <v>5</v>
      </c>
      <c r="E290" s="90">
        <v>8</v>
      </c>
      <c r="F290" s="91">
        <v>26470</v>
      </c>
      <c r="G290" s="91">
        <v>25228</v>
      </c>
      <c r="H290" s="91">
        <v>2286</v>
      </c>
      <c r="I290" s="91">
        <v>84.93</v>
      </c>
      <c r="J290" s="91">
        <v>-1044</v>
      </c>
      <c r="K290" s="91">
        <v>28274</v>
      </c>
      <c r="L290" s="91">
        <v>24714</v>
      </c>
      <c r="M290" s="91">
        <v>23569</v>
      </c>
      <c r="N290" s="91">
        <v>29877</v>
      </c>
      <c r="O290" s="91">
        <v>1614</v>
      </c>
      <c r="P290" s="91">
        <v>784</v>
      </c>
      <c r="Q290" s="91">
        <v>0</v>
      </c>
      <c r="R290" s="91">
        <v>0</v>
      </c>
      <c r="S290" s="91">
        <v>-1156</v>
      </c>
      <c r="T290" s="91">
        <v>0</v>
      </c>
      <c r="U290" s="91">
        <v>0</v>
      </c>
      <c r="V290" s="202">
        <v>0</v>
      </c>
      <c r="W290" s="91">
        <v>-112</v>
      </c>
      <c r="X290" s="91">
        <v>0</v>
      </c>
      <c r="Y290" s="91">
        <v>1044</v>
      </c>
      <c r="Z290" s="91">
        <v>0</v>
      </c>
      <c r="AA290" s="91">
        <v>0</v>
      </c>
      <c r="AB290" s="91">
        <v>-112</v>
      </c>
      <c r="AC290" s="91">
        <v>-112</v>
      </c>
      <c r="AD290" s="91">
        <v>-112</v>
      </c>
      <c r="AE290" s="91">
        <v>-112</v>
      </c>
      <c r="AF290" s="91">
        <v>-112</v>
      </c>
      <c r="AG290" s="91">
        <v>-484</v>
      </c>
      <c r="AH290" s="84">
        <v>10.3</v>
      </c>
      <c r="AI290" s="97">
        <f t="shared" si="4"/>
        <v>1242</v>
      </c>
    </row>
    <row r="291" spans="1:35">
      <c r="A291" s="55" t="s">
        <v>456</v>
      </c>
      <c r="B291" s="91">
        <v>1</v>
      </c>
      <c r="C291" s="91">
        <v>0</v>
      </c>
      <c r="D291" s="91">
        <v>10</v>
      </c>
      <c r="E291" s="90">
        <v>13</v>
      </c>
      <c r="F291" s="91">
        <v>132050</v>
      </c>
      <c r="G291" s="91">
        <v>133803</v>
      </c>
      <c r="H291" s="91">
        <v>7028</v>
      </c>
      <c r="I291" s="91">
        <v>4407.83</v>
      </c>
      <c r="J291" s="91">
        <v>-4703</v>
      </c>
      <c r="K291" s="91">
        <v>140663</v>
      </c>
      <c r="L291" s="91">
        <v>123999</v>
      </c>
      <c r="M291" s="91">
        <v>121640</v>
      </c>
      <c r="N291" s="91">
        <v>143701</v>
      </c>
      <c r="O291" s="91">
        <v>3865</v>
      </c>
      <c r="P291" s="91">
        <v>3960</v>
      </c>
      <c r="Q291" s="91">
        <v>0</v>
      </c>
      <c r="R291" s="91">
        <v>0</v>
      </c>
      <c r="S291" s="91">
        <v>-5500</v>
      </c>
      <c r="T291" s="91">
        <v>4078</v>
      </c>
      <c r="U291" s="91">
        <v>0</v>
      </c>
      <c r="V291" s="202">
        <v>0</v>
      </c>
      <c r="W291" s="91">
        <v>-797</v>
      </c>
      <c r="X291" s="91">
        <v>0</v>
      </c>
      <c r="Y291" s="91">
        <v>4703</v>
      </c>
      <c r="Z291" s="91">
        <v>0</v>
      </c>
      <c r="AA291" s="91">
        <v>0</v>
      </c>
      <c r="AB291" s="91">
        <v>-797</v>
      </c>
      <c r="AC291" s="91">
        <v>-797</v>
      </c>
      <c r="AD291" s="91">
        <v>-797</v>
      </c>
      <c r="AE291" s="91">
        <v>-797</v>
      </c>
      <c r="AF291" s="91">
        <v>-797</v>
      </c>
      <c r="AG291" s="91">
        <v>-718</v>
      </c>
      <c r="AH291" s="84">
        <v>6.9</v>
      </c>
      <c r="AI291" s="97">
        <f t="shared" si="4"/>
        <v>-1753</v>
      </c>
    </row>
    <row r="292" spans="1:35">
      <c r="A292" s="55" t="s">
        <v>457</v>
      </c>
      <c r="B292" s="91">
        <v>0</v>
      </c>
      <c r="C292" s="91">
        <v>0</v>
      </c>
      <c r="D292" s="91">
        <v>55</v>
      </c>
      <c r="E292" s="90">
        <v>59</v>
      </c>
      <c r="F292" s="91">
        <v>87474</v>
      </c>
      <c r="G292" s="91">
        <v>80159</v>
      </c>
      <c r="H292" s="91">
        <v>11280</v>
      </c>
      <c r="I292" s="91">
        <v>1583.9699999999989</v>
      </c>
      <c r="J292" s="91">
        <v>-3965</v>
      </c>
      <c r="K292" s="91">
        <v>94433</v>
      </c>
      <c r="L292" s="91">
        <v>80905</v>
      </c>
      <c r="M292" s="91">
        <v>76764</v>
      </c>
      <c r="N292" s="91">
        <v>100398</v>
      </c>
      <c r="O292" s="91">
        <v>9162</v>
      </c>
      <c r="P292" s="91">
        <v>2608</v>
      </c>
      <c r="Q292" s="91">
        <v>0</v>
      </c>
      <c r="R292" s="91">
        <v>0</v>
      </c>
      <c r="S292" s="91">
        <v>-4455</v>
      </c>
      <c r="T292" s="91">
        <v>0</v>
      </c>
      <c r="U292" s="91">
        <v>0</v>
      </c>
      <c r="V292" s="202">
        <v>0</v>
      </c>
      <c r="W292" s="91">
        <v>-490</v>
      </c>
      <c r="X292" s="91">
        <v>0</v>
      </c>
      <c r="Y292" s="91">
        <v>3965</v>
      </c>
      <c r="Z292" s="91">
        <v>0</v>
      </c>
      <c r="AA292" s="91">
        <v>0</v>
      </c>
      <c r="AB292" s="91">
        <v>-490</v>
      </c>
      <c r="AC292" s="91">
        <v>-490</v>
      </c>
      <c r="AD292" s="91">
        <v>-490</v>
      </c>
      <c r="AE292" s="91">
        <v>-490</v>
      </c>
      <c r="AF292" s="91">
        <v>-490</v>
      </c>
      <c r="AG292" s="91">
        <v>-1515</v>
      </c>
      <c r="AH292" s="84">
        <v>9.1</v>
      </c>
      <c r="AI292" s="97">
        <f t="shared" si="4"/>
        <v>7315</v>
      </c>
    </row>
    <row r="293" spans="1:35">
      <c r="A293" s="55" t="s">
        <v>458</v>
      </c>
      <c r="B293" s="91">
        <v>0</v>
      </c>
      <c r="C293" s="91">
        <v>0</v>
      </c>
      <c r="D293" s="91">
        <v>6</v>
      </c>
      <c r="E293" s="90">
        <v>7</v>
      </c>
      <c r="F293" s="91">
        <v>14995</v>
      </c>
      <c r="G293" s="91">
        <v>13249</v>
      </c>
      <c r="H293" s="91">
        <v>2363</v>
      </c>
      <c r="I293" s="91">
        <v>393.74000000000024</v>
      </c>
      <c r="J293" s="91">
        <v>-617</v>
      </c>
      <c r="K293" s="91">
        <v>16115</v>
      </c>
      <c r="L293" s="91">
        <v>13976</v>
      </c>
      <c r="M293" s="91">
        <v>13312</v>
      </c>
      <c r="N293" s="91">
        <v>16970</v>
      </c>
      <c r="O293" s="91">
        <v>2023</v>
      </c>
      <c r="P293" s="91">
        <v>446</v>
      </c>
      <c r="Q293" s="91">
        <v>0</v>
      </c>
      <c r="R293" s="91">
        <v>0</v>
      </c>
      <c r="S293" s="91">
        <v>-723</v>
      </c>
      <c r="T293" s="91">
        <v>0</v>
      </c>
      <c r="U293" s="91">
        <v>0</v>
      </c>
      <c r="V293" s="202">
        <v>0</v>
      </c>
      <c r="W293" s="91">
        <v>-106</v>
      </c>
      <c r="X293" s="91">
        <v>0</v>
      </c>
      <c r="Y293" s="91">
        <v>617</v>
      </c>
      <c r="Z293" s="91">
        <v>0</v>
      </c>
      <c r="AA293" s="91">
        <v>0</v>
      </c>
      <c r="AB293" s="91">
        <v>-106</v>
      </c>
      <c r="AC293" s="91">
        <v>-106</v>
      </c>
      <c r="AD293" s="91">
        <v>-106</v>
      </c>
      <c r="AE293" s="91">
        <v>-106</v>
      </c>
      <c r="AF293" s="91">
        <v>-106</v>
      </c>
      <c r="AG293" s="91">
        <v>-87</v>
      </c>
      <c r="AH293" s="84">
        <v>6.8</v>
      </c>
      <c r="AI293" s="97">
        <f t="shared" si="4"/>
        <v>1746</v>
      </c>
    </row>
    <row r="294" spans="1:35">
      <c r="A294" s="55" t="s">
        <v>459</v>
      </c>
      <c r="B294" s="91">
        <v>5</v>
      </c>
      <c r="C294" s="91">
        <v>0</v>
      </c>
      <c r="D294" s="91">
        <v>53</v>
      </c>
      <c r="E294" s="90">
        <v>54</v>
      </c>
      <c r="F294" s="91">
        <v>1179460</v>
      </c>
      <c r="G294" s="91">
        <v>1184450</v>
      </c>
      <c r="H294" s="91">
        <v>86164</v>
      </c>
      <c r="I294" s="91">
        <v>40466.610000000015</v>
      </c>
      <c r="J294" s="91">
        <v>-50872</v>
      </c>
      <c r="K294" s="91">
        <v>1269445</v>
      </c>
      <c r="L294" s="91">
        <v>1094268</v>
      </c>
      <c r="M294" s="91">
        <v>1060368</v>
      </c>
      <c r="N294" s="91">
        <v>1317404</v>
      </c>
      <c r="O294" s="91">
        <v>56714</v>
      </c>
      <c r="P294" s="91">
        <v>35654</v>
      </c>
      <c r="Q294" s="91">
        <v>0</v>
      </c>
      <c r="R294" s="91">
        <v>0</v>
      </c>
      <c r="S294" s="91">
        <v>-57076</v>
      </c>
      <c r="T294" s="91">
        <v>40282</v>
      </c>
      <c r="U294" s="91">
        <v>0</v>
      </c>
      <c r="V294" s="202">
        <v>0</v>
      </c>
      <c r="W294" s="91">
        <v>-6204</v>
      </c>
      <c r="X294" s="91">
        <v>0</v>
      </c>
      <c r="Y294" s="91">
        <v>50872</v>
      </c>
      <c r="Z294" s="91">
        <v>0</v>
      </c>
      <c r="AA294" s="91">
        <v>0</v>
      </c>
      <c r="AB294" s="91">
        <v>-6204</v>
      </c>
      <c r="AC294" s="91">
        <v>-6204</v>
      </c>
      <c r="AD294" s="91">
        <v>-6204</v>
      </c>
      <c r="AE294" s="91">
        <v>-6204</v>
      </c>
      <c r="AF294" s="91">
        <v>-6204</v>
      </c>
      <c r="AG294" s="91">
        <v>-19852</v>
      </c>
      <c r="AH294" s="84">
        <v>9.1999999999999993</v>
      </c>
      <c r="AI294" s="97">
        <f t="shared" si="4"/>
        <v>-4990</v>
      </c>
    </row>
    <row r="295" spans="1:35">
      <c r="A295" s="55" t="s">
        <v>460</v>
      </c>
      <c r="B295" s="91">
        <v>1</v>
      </c>
      <c r="C295" s="91">
        <v>0</v>
      </c>
      <c r="D295" s="91">
        <v>134</v>
      </c>
      <c r="E295" s="90">
        <v>149</v>
      </c>
      <c r="F295" s="91">
        <v>335848</v>
      </c>
      <c r="G295" s="91">
        <v>324913</v>
      </c>
      <c r="H295" s="91">
        <v>34432</v>
      </c>
      <c r="I295" s="91">
        <v>6953.09</v>
      </c>
      <c r="J295" s="91">
        <v>-17357</v>
      </c>
      <c r="K295" s="91">
        <v>366231</v>
      </c>
      <c r="L295" s="91">
        <v>307354</v>
      </c>
      <c r="M295" s="91">
        <v>292304</v>
      </c>
      <c r="N295" s="91">
        <v>388314</v>
      </c>
      <c r="O295" s="91">
        <v>26157</v>
      </c>
      <c r="P295" s="91">
        <v>10162</v>
      </c>
      <c r="Q295" s="91">
        <v>0</v>
      </c>
      <c r="R295" s="91">
        <v>0</v>
      </c>
      <c r="S295" s="91">
        <v>-19244</v>
      </c>
      <c r="T295" s="91">
        <v>6140</v>
      </c>
      <c r="U295" s="91">
        <v>0</v>
      </c>
      <c r="V295" s="202">
        <v>0</v>
      </c>
      <c r="W295" s="91">
        <v>-1887</v>
      </c>
      <c r="X295" s="91">
        <v>0</v>
      </c>
      <c r="Y295" s="91">
        <v>17357</v>
      </c>
      <c r="Z295" s="91">
        <v>0</v>
      </c>
      <c r="AA295" s="91">
        <v>0</v>
      </c>
      <c r="AB295" s="91">
        <v>-1887</v>
      </c>
      <c r="AC295" s="91">
        <v>-1887</v>
      </c>
      <c r="AD295" s="91">
        <v>-1887</v>
      </c>
      <c r="AE295" s="91">
        <v>-1887</v>
      </c>
      <c r="AF295" s="91">
        <v>-1887</v>
      </c>
      <c r="AG295" s="91">
        <v>-7922</v>
      </c>
      <c r="AH295" s="84">
        <v>10.199999999999999</v>
      </c>
      <c r="AI295" s="97">
        <f t="shared" si="4"/>
        <v>10935</v>
      </c>
    </row>
    <row r="296" spans="1:35">
      <c r="A296" s="55" t="s">
        <v>461</v>
      </c>
      <c r="B296" s="91">
        <v>0</v>
      </c>
      <c r="C296" s="91">
        <v>0</v>
      </c>
      <c r="D296" s="91">
        <v>0</v>
      </c>
      <c r="E296" s="90">
        <v>0</v>
      </c>
      <c r="F296" s="91">
        <v>0</v>
      </c>
      <c r="G296" s="91">
        <v>0</v>
      </c>
      <c r="H296" s="91">
        <v>0</v>
      </c>
      <c r="I296" s="91">
        <v>0</v>
      </c>
      <c r="J296" s="91">
        <v>0</v>
      </c>
      <c r="K296" s="91">
        <v>0</v>
      </c>
      <c r="L296" s="91">
        <v>0</v>
      </c>
      <c r="M296" s="91">
        <v>0</v>
      </c>
      <c r="N296" s="91">
        <v>0</v>
      </c>
      <c r="O296" s="91">
        <v>0</v>
      </c>
      <c r="P296" s="91">
        <v>0</v>
      </c>
      <c r="Q296" s="91">
        <v>0</v>
      </c>
      <c r="R296" s="91">
        <v>0</v>
      </c>
      <c r="S296" s="91">
        <v>0</v>
      </c>
      <c r="T296" s="91">
        <v>0</v>
      </c>
      <c r="U296" s="91">
        <v>0</v>
      </c>
      <c r="V296" s="202">
        <v>0</v>
      </c>
      <c r="W296" s="91">
        <v>0</v>
      </c>
      <c r="X296" s="91">
        <v>0</v>
      </c>
      <c r="Y296" s="91">
        <v>0</v>
      </c>
      <c r="Z296" s="91">
        <v>0</v>
      </c>
      <c r="AA296" s="91">
        <v>0</v>
      </c>
      <c r="AB296" s="91">
        <v>0</v>
      </c>
      <c r="AC296" s="91">
        <v>0</v>
      </c>
      <c r="AD296" s="91">
        <v>0</v>
      </c>
      <c r="AE296" s="91">
        <v>0</v>
      </c>
      <c r="AF296" s="91">
        <v>0</v>
      </c>
      <c r="AG296" s="91">
        <v>0</v>
      </c>
      <c r="AH296" s="84">
        <v>1</v>
      </c>
      <c r="AI296" s="97">
        <f t="shared" si="4"/>
        <v>0</v>
      </c>
    </row>
    <row r="297" spans="1:35">
      <c r="A297" s="55" t="s">
        <v>462</v>
      </c>
      <c r="B297" s="91">
        <v>3</v>
      </c>
      <c r="C297" s="91">
        <v>0</v>
      </c>
      <c r="D297" s="91">
        <v>0</v>
      </c>
      <c r="E297" s="90">
        <v>1</v>
      </c>
      <c r="F297" s="91">
        <v>19066</v>
      </c>
      <c r="G297" s="91">
        <v>30675</v>
      </c>
      <c r="H297" s="91">
        <v>603</v>
      </c>
      <c r="I297" s="91">
        <v>10775.649999999998</v>
      </c>
      <c r="J297" s="91">
        <v>0</v>
      </c>
      <c r="K297" s="91">
        <v>19246</v>
      </c>
      <c r="L297" s="91">
        <v>18893</v>
      </c>
      <c r="M297" s="91">
        <v>18913</v>
      </c>
      <c r="N297" s="91">
        <v>19222</v>
      </c>
      <c r="O297" s="91">
        <v>0</v>
      </c>
      <c r="P297" s="91">
        <v>717</v>
      </c>
      <c r="Q297" s="91">
        <v>0</v>
      </c>
      <c r="R297" s="91">
        <v>0</v>
      </c>
      <c r="S297" s="91">
        <v>-114</v>
      </c>
      <c r="T297" s="91">
        <v>12212</v>
      </c>
      <c r="U297" s="91">
        <v>0</v>
      </c>
      <c r="V297" s="202">
        <v>0</v>
      </c>
      <c r="W297" s="91">
        <v>-114</v>
      </c>
      <c r="X297" s="91">
        <v>0</v>
      </c>
      <c r="Y297" s="91">
        <v>0</v>
      </c>
      <c r="Z297" s="91">
        <v>0</v>
      </c>
      <c r="AA297" s="91">
        <v>0</v>
      </c>
      <c r="AB297" s="91">
        <v>0</v>
      </c>
      <c r="AC297" s="91">
        <v>0</v>
      </c>
      <c r="AD297" s="91">
        <v>0</v>
      </c>
      <c r="AE297" s="91">
        <v>0</v>
      </c>
      <c r="AF297" s="91">
        <v>0</v>
      </c>
      <c r="AG297" s="91">
        <v>0</v>
      </c>
      <c r="AH297" s="84">
        <v>1</v>
      </c>
      <c r="AI297" s="97">
        <f t="shared" si="4"/>
        <v>-11609</v>
      </c>
    </row>
    <row r="298" spans="1:35" ht="22.5">
      <c r="A298" s="55" t="s">
        <v>463</v>
      </c>
      <c r="B298" s="91">
        <v>0</v>
      </c>
      <c r="C298" s="91">
        <v>0</v>
      </c>
      <c r="D298" s="91">
        <v>1</v>
      </c>
      <c r="E298" s="90">
        <v>1</v>
      </c>
      <c r="F298" s="91">
        <v>2739</v>
      </c>
      <c r="G298" s="91">
        <v>2641</v>
      </c>
      <c r="H298" s="91">
        <v>293</v>
      </c>
      <c r="I298" s="91">
        <v>0</v>
      </c>
      <c r="J298" s="91">
        <v>-195</v>
      </c>
      <c r="K298" s="91">
        <v>3083</v>
      </c>
      <c r="L298" s="91">
        <v>2427</v>
      </c>
      <c r="M298" s="91">
        <v>2221</v>
      </c>
      <c r="N298" s="91">
        <v>3394</v>
      </c>
      <c r="O298" s="91">
        <v>223</v>
      </c>
      <c r="P298" s="91">
        <v>84</v>
      </c>
      <c r="Q298" s="91">
        <v>0</v>
      </c>
      <c r="R298" s="91">
        <v>0</v>
      </c>
      <c r="S298" s="91">
        <v>-209</v>
      </c>
      <c r="T298" s="91">
        <v>0</v>
      </c>
      <c r="U298" s="91">
        <v>0</v>
      </c>
      <c r="V298" s="202">
        <v>0</v>
      </c>
      <c r="W298" s="91">
        <v>-14</v>
      </c>
      <c r="X298" s="91">
        <v>0</v>
      </c>
      <c r="Y298" s="91">
        <v>195</v>
      </c>
      <c r="Z298" s="91">
        <v>0</v>
      </c>
      <c r="AA298" s="91">
        <v>0</v>
      </c>
      <c r="AB298" s="91">
        <v>-14</v>
      </c>
      <c r="AC298" s="91">
        <v>-14</v>
      </c>
      <c r="AD298" s="91">
        <v>-14</v>
      </c>
      <c r="AE298" s="91">
        <v>-14</v>
      </c>
      <c r="AF298" s="91">
        <v>-14</v>
      </c>
      <c r="AG298" s="91">
        <v>-125</v>
      </c>
      <c r="AH298" s="84">
        <v>15.3</v>
      </c>
      <c r="AI298" s="97">
        <f t="shared" si="4"/>
        <v>98</v>
      </c>
    </row>
    <row r="299" spans="1:35" ht="22.5">
      <c r="A299" s="55" t="s">
        <v>464</v>
      </c>
      <c r="B299" s="91">
        <v>0</v>
      </c>
      <c r="C299" s="91">
        <v>0</v>
      </c>
      <c r="D299" s="91">
        <v>0</v>
      </c>
      <c r="E299" s="90">
        <v>0</v>
      </c>
      <c r="F299" s="91">
        <v>0</v>
      </c>
      <c r="G299" s="91">
        <v>0</v>
      </c>
      <c r="H299" s="91">
        <v>0</v>
      </c>
      <c r="I299" s="91">
        <v>0</v>
      </c>
      <c r="J299" s="91">
        <v>0</v>
      </c>
      <c r="K299" s="91">
        <v>0</v>
      </c>
      <c r="L299" s="91">
        <v>0</v>
      </c>
      <c r="M299" s="91">
        <v>0</v>
      </c>
      <c r="N299" s="91">
        <v>0</v>
      </c>
      <c r="O299" s="91">
        <v>0</v>
      </c>
      <c r="P299" s="91">
        <v>0</v>
      </c>
      <c r="Q299" s="91">
        <v>0</v>
      </c>
      <c r="R299" s="91">
        <v>0</v>
      </c>
      <c r="S299" s="91">
        <v>0</v>
      </c>
      <c r="T299" s="91">
        <v>0</v>
      </c>
      <c r="U299" s="91">
        <v>0</v>
      </c>
      <c r="V299" s="202">
        <v>0</v>
      </c>
      <c r="W299" s="91">
        <v>0</v>
      </c>
      <c r="X299" s="91">
        <v>0</v>
      </c>
      <c r="Y299" s="91">
        <v>0</v>
      </c>
      <c r="Z299" s="91">
        <v>0</v>
      </c>
      <c r="AA299" s="91">
        <v>0</v>
      </c>
      <c r="AB299" s="91">
        <v>0</v>
      </c>
      <c r="AC299" s="91">
        <v>0</v>
      </c>
      <c r="AD299" s="91">
        <v>0</v>
      </c>
      <c r="AE299" s="91">
        <v>0</v>
      </c>
      <c r="AF299" s="91">
        <v>0</v>
      </c>
      <c r="AG299" s="91">
        <v>0</v>
      </c>
      <c r="AH299" s="84">
        <v>1</v>
      </c>
      <c r="AI299" s="97">
        <f t="shared" si="4"/>
        <v>0</v>
      </c>
    </row>
    <row r="300" spans="1:35">
      <c r="A300" s="55" t="s">
        <v>465</v>
      </c>
      <c r="B300" s="91">
        <v>0</v>
      </c>
      <c r="C300" s="91">
        <v>0</v>
      </c>
      <c r="D300" s="91">
        <v>0</v>
      </c>
      <c r="E300" s="90">
        <v>0</v>
      </c>
      <c r="F300" s="91">
        <v>0</v>
      </c>
      <c r="G300" s="91">
        <v>0</v>
      </c>
      <c r="H300" s="91">
        <v>0</v>
      </c>
      <c r="I300" s="91">
        <v>0</v>
      </c>
      <c r="J300" s="91">
        <v>0</v>
      </c>
      <c r="K300" s="91">
        <v>0</v>
      </c>
      <c r="L300" s="91">
        <v>0</v>
      </c>
      <c r="M300" s="91">
        <v>0</v>
      </c>
      <c r="N300" s="91">
        <v>0</v>
      </c>
      <c r="O300" s="91">
        <v>0</v>
      </c>
      <c r="P300" s="91">
        <v>0</v>
      </c>
      <c r="Q300" s="91">
        <v>0</v>
      </c>
      <c r="R300" s="91">
        <v>0</v>
      </c>
      <c r="S300" s="91">
        <v>0</v>
      </c>
      <c r="T300" s="91">
        <v>0</v>
      </c>
      <c r="U300" s="91">
        <v>0</v>
      </c>
      <c r="V300" s="202">
        <v>0</v>
      </c>
      <c r="W300" s="91">
        <v>0</v>
      </c>
      <c r="X300" s="91">
        <v>0</v>
      </c>
      <c r="Y300" s="91">
        <v>0</v>
      </c>
      <c r="Z300" s="91">
        <v>0</v>
      </c>
      <c r="AA300" s="91">
        <v>0</v>
      </c>
      <c r="AB300" s="91">
        <v>0</v>
      </c>
      <c r="AC300" s="91">
        <v>0</v>
      </c>
      <c r="AD300" s="91">
        <v>0</v>
      </c>
      <c r="AE300" s="91">
        <v>0</v>
      </c>
      <c r="AF300" s="91">
        <v>0</v>
      </c>
      <c r="AG300" s="91">
        <v>0</v>
      </c>
      <c r="AH300" s="84">
        <v>1</v>
      </c>
      <c r="AI300" s="97">
        <f t="shared" si="4"/>
        <v>0</v>
      </c>
    </row>
    <row r="301" spans="1:35">
      <c r="A301" s="55" t="s">
        <v>466</v>
      </c>
      <c r="B301" s="91">
        <v>0</v>
      </c>
      <c r="C301" s="91">
        <v>0</v>
      </c>
      <c r="D301" s="91">
        <v>5</v>
      </c>
      <c r="E301" s="90">
        <v>6</v>
      </c>
      <c r="F301" s="91">
        <v>15673</v>
      </c>
      <c r="G301" s="91">
        <v>13983</v>
      </c>
      <c r="H301" s="91">
        <v>1849</v>
      </c>
      <c r="I301" s="91">
        <v>213.65000000000009</v>
      </c>
      <c r="J301" s="91">
        <v>-159</v>
      </c>
      <c r="K301" s="91">
        <v>15963</v>
      </c>
      <c r="L301" s="91">
        <v>15343</v>
      </c>
      <c r="M301" s="91">
        <v>14786</v>
      </c>
      <c r="N301" s="91">
        <v>16627</v>
      </c>
      <c r="O301" s="91">
        <v>1428</v>
      </c>
      <c r="P301" s="91">
        <v>450</v>
      </c>
      <c r="Q301" s="91">
        <v>0</v>
      </c>
      <c r="R301" s="91">
        <v>0</v>
      </c>
      <c r="S301" s="91">
        <v>-188</v>
      </c>
      <c r="T301" s="91">
        <v>0</v>
      </c>
      <c r="U301" s="91">
        <v>0</v>
      </c>
      <c r="V301" s="202">
        <v>0</v>
      </c>
      <c r="W301" s="91">
        <v>-29</v>
      </c>
      <c r="X301" s="91">
        <v>0</v>
      </c>
      <c r="Y301" s="91">
        <v>159</v>
      </c>
      <c r="Z301" s="91">
        <v>0</v>
      </c>
      <c r="AA301" s="91">
        <v>0</v>
      </c>
      <c r="AB301" s="91">
        <v>-29</v>
      </c>
      <c r="AC301" s="91">
        <v>-29</v>
      </c>
      <c r="AD301" s="91">
        <v>-29</v>
      </c>
      <c r="AE301" s="91">
        <v>-29</v>
      </c>
      <c r="AF301" s="91">
        <v>-29</v>
      </c>
      <c r="AG301" s="91">
        <v>-14</v>
      </c>
      <c r="AH301" s="84">
        <v>6.5</v>
      </c>
      <c r="AI301" s="97">
        <f t="shared" si="4"/>
        <v>1690</v>
      </c>
    </row>
    <row r="302" spans="1:35">
      <c r="A302" s="55" t="s">
        <v>467</v>
      </c>
      <c r="B302" s="91">
        <v>0</v>
      </c>
      <c r="C302" s="91">
        <v>0</v>
      </c>
      <c r="D302" s="91">
        <v>1</v>
      </c>
      <c r="E302" s="90">
        <v>1</v>
      </c>
      <c r="F302" s="91">
        <v>3963</v>
      </c>
      <c r="G302" s="91">
        <v>3568</v>
      </c>
      <c r="H302" s="91">
        <v>411</v>
      </c>
      <c r="I302" s="91">
        <v>211.14999999999998</v>
      </c>
      <c r="J302" s="91">
        <v>-16</v>
      </c>
      <c r="K302" s="91">
        <v>4007</v>
      </c>
      <c r="L302" s="91">
        <v>3916</v>
      </c>
      <c r="M302" s="91">
        <v>3825</v>
      </c>
      <c r="N302" s="91">
        <v>4109</v>
      </c>
      <c r="O302" s="91">
        <v>310</v>
      </c>
      <c r="P302" s="91">
        <v>113</v>
      </c>
      <c r="Q302" s="91">
        <v>0</v>
      </c>
      <c r="R302" s="91">
        <v>0</v>
      </c>
      <c r="S302" s="91">
        <v>-28</v>
      </c>
      <c r="T302" s="91">
        <v>0</v>
      </c>
      <c r="U302" s="91">
        <v>0</v>
      </c>
      <c r="V302" s="202">
        <v>0</v>
      </c>
      <c r="W302" s="91">
        <v>-12</v>
      </c>
      <c r="X302" s="91">
        <v>0</v>
      </c>
      <c r="Y302" s="91">
        <v>16</v>
      </c>
      <c r="Z302" s="91">
        <v>0</v>
      </c>
      <c r="AA302" s="91">
        <v>0</v>
      </c>
      <c r="AB302" s="91">
        <v>-12</v>
      </c>
      <c r="AC302" s="91">
        <v>-4</v>
      </c>
      <c r="AD302" s="91">
        <v>0</v>
      </c>
      <c r="AE302" s="91">
        <v>0</v>
      </c>
      <c r="AF302" s="91">
        <v>0</v>
      </c>
      <c r="AG302" s="91">
        <v>0</v>
      </c>
      <c r="AH302" s="84">
        <v>2.4</v>
      </c>
      <c r="AI302" s="97">
        <f t="shared" si="4"/>
        <v>395</v>
      </c>
    </row>
    <row r="303" spans="1:35">
      <c r="A303" s="55" t="s">
        <v>468</v>
      </c>
      <c r="B303" s="91">
        <v>0</v>
      </c>
      <c r="C303" s="91">
        <v>0</v>
      </c>
      <c r="D303" s="91">
        <v>18</v>
      </c>
      <c r="E303" s="90">
        <v>20</v>
      </c>
      <c r="F303" s="91">
        <v>64939</v>
      </c>
      <c r="G303" s="91">
        <v>60881</v>
      </c>
      <c r="H303" s="91">
        <v>7165</v>
      </c>
      <c r="I303" s="91">
        <v>1411.5900000000001</v>
      </c>
      <c r="J303" s="91">
        <v>-3107</v>
      </c>
      <c r="K303" s="91">
        <v>70676</v>
      </c>
      <c r="L303" s="91">
        <v>59658</v>
      </c>
      <c r="M303" s="91">
        <v>56845</v>
      </c>
      <c r="N303" s="91">
        <v>74749</v>
      </c>
      <c r="O303" s="91">
        <v>5721</v>
      </c>
      <c r="P303" s="91">
        <v>1945</v>
      </c>
      <c r="Q303" s="91">
        <v>0</v>
      </c>
      <c r="R303" s="91">
        <v>0</v>
      </c>
      <c r="S303" s="91">
        <v>-3608</v>
      </c>
      <c r="T303" s="91">
        <v>0</v>
      </c>
      <c r="U303" s="91">
        <v>0</v>
      </c>
      <c r="V303" s="202">
        <v>0</v>
      </c>
      <c r="W303" s="91">
        <v>-501</v>
      </c>
      <c r="X303" s="91">
        <v>0</v>
      </c>
      <c r="Y303" s="91">
        <v>3107</v>
      </c>
      <c r="Z303" s="91">
        <v>0</v>
      </c>
      <c r="AA303" s="91">
        <v>0</v>
      </c>
      <c r="AB303" s="91">
        <v>-501</v>
      </c>
      <c r="AC303" s="91">
        <v>-501</v>
      </c>
      <c r="AD303" s="91">
        <v>-501</v>
      </c>
      <c r="AE303" s="91">
        <v>-501</v>
      </c>
      <c r="AF303" s="91">
        <v>-501</v>
      </c>
      <c r="AG303" s="91">
        <v>-602</v>
      </c>
      <c r="AH303" s="84">
        <v>7.2</v>
      </c>
      <c r="AI303" s="97">
        <f t="shared" si="4"/>
        <v>4058</v>
      </c>
    </row>
    <row r="304" spans="1:35">
      <c r="A304" s="55" t="s">
        <v>469</v>
      </c>
      <c r="B304" s="91">
        <v>0</v>
      </c>
      <c r="C304" s="91">
        <v>0</v>
      </c>
      <c r="D304" s="91">
        <v>122</v>
      </c>
      <c r="E304" s="90">
        <v>150</v>
      </c>
      <c r="F304" s="91">
        <v>226216</v>
      </c>
      <c r="G304" s="91">
        <v>211967</v>
      </c>
      <c r="H304" s="91">
        <v>25398</v>
      </c>
      <c r="I304" s="91">
        <v>1922.909999999998</v>
      </c>
      <c r="J304" s="91">
        <v>-11149</v>
      </c>
      <c r="K304" s="91">
        <v>246031</v>
      </c>
      <c r="L304" s="91">
        <v>207529</v>
      </c>
      <c r="M304" s="91">
        <v>196311</v>
      </c>
      <c r="N304" s="91">
        <v>261935</v>
      </c>
      <c r="O304" s="91">
        <v>19909</v>
      </c>
      <c r="P304" s="91">
        <v>6771</v>
      </c>
      <c r="Q304" s="91">
        <v>0</v>
      </c>
      <c r="R304" s="91">
        <v>0</v>
      </c>
      <c r="S304" s="91">
        <v>-12431</v>
      </c>
      <c r="T304" s="91">
        <v>0</v>
      </c>
      <c r="U304" s="91">
        <v>0</v>
      </c>
      <c r="V304" s="202">
        <v>0</v>
      </c>
      <c r="W304" s="91">
        <v>-1282</v>
      </c>
      <c r="X304" s="91">
        <v>0</v>
      </c>
      <c r="Y304" s="91">
        <v>11149</v>
      </c>
      <c r="Z304" s="91">
        <v>0</v>
      </c>
      <c r="AA304" s="91">
        <v>0</v>
      </c>
      <c r="AB304" s="91">
        <v>-1282</v>
      </c>
      <c r="AC304" s="91">
        <v>-1282</v>
      </c>
      <c r="AD304" s="91">
        <v>-1282</v>
      </c>
      <c r="AE304" s="91">
        <v>-1282</v>
      </c>
      <c r="AF304" s="91">
        <v>-1282</v>
      </c>
      <c r="AG304" s="91">
        <v>-4739</v>
      </c>
      <c r="AH304" s="84">
        <v>9.6999999999999993</v>
      </c>
      <c r="AI304" s="97">
        <f t="shared" si="4"/>
        <v>14249</v>
      </c>
    </row>
    <row r="305" spans="1:35">
      <c r="A305" s="55" t="s">
        <v>470</v>
      </c>
      <c r="B305" s="91">
        <v>0</v>
      </c>
      <c r="C305" s="91">
        <v>0</v>
      </c>
      <c r="D305" s="91">
        <v>20</v>
      </c>
      <c r="E305" s="90">
        <v>22</v>
      </c>
      <c r="F305" s="91">
        <v>36363</v>
      </c>
      <c r="G305" s="91">
        <v>32713</v>
      </c>
      <c r="H305" s="91">
        <v>4988</v>
      </c>
      <c r="I305" s="91">
        <v>932.98</v>
      </c>
      <c r="J305" s="91">
        <v>-1338</v>
      </c>
      <c r="K305" s="91">
        <v>38687</v>
      </c>
      <c r="L305" s="91">
        <v>34107</v>
      </c>
      <c r="M305" s="91">
        <v>32528</v>
      </c>
      <c r="N305" s="91">
        <v>40932</v>
      </c>
      <c r="O305" s="91">
        <v>4063</v>
      </c>
      <c r="P305" s="91">
        <v>1074</v>
      </c>
      <c r="Q305" s="91">
        <v>0</v>
      </c>
      <c r="R305" s="91">
        <v>0</v>
      </c>
      <c r="S305" s="91">
        <v>-1487</v>
      </c>
      <c r="T305" s="91">
        <v>0</v>
      </c>
      <c r="U305" s="91">
        <v>0</v>
      </c>
      <c r="V305" s="202">
        <v>0</v>
      </c>
      <c r="W305" s="91">
        <v>-149</v>
      </c>
      <c r="X305" s="91">
        <v>0</v>
      </c>
      <c r="Y305" s="91">
        <v>1338</v>
      </c>
      <c r="Z305" s="91">
        <v>0</v>
      </c>
      <c r="AA305" s="91">
        <v>0</v>
      </c>
      <c r="AB305" s="91">
        <v>-149</v>
      </c>
      <c r="AC305" s="91">
        <v>-149</v>
      </c>
      <c r="AD305" s="91">
        <v>-149</v>
      </c>
      <c r="AE305" s="91">
        <v>-149</v>
      </c>
      <c r="AF305" s="91">
        <v>-149</v>
      </c>
      <c r="AG305" s="91">
        <v>-593</v>
      </c>
      <c r="AH305" s="84">
        <v>10</v>
      </c>
      <c r="AI305" s="97">
        <f t="shared" si="4"/>
        <v>3650</v>
      </c>
    </row>
    <row r="306" spans="1:35">
      <c r="A306" s="55" t="s">
        <v>471</v>
      </c>
      <c r="B306" s="91">
        <v>7</v>
      </c>
      <c r="C306" s="91">
        <v>0</v>
      </c>
      <c r="D306" s="91">
        <v>150</v>
      </c>
      <c r="E306" s="90">
        <v>162</v>
      </c>
      <c r="F306" s="91">
        <v>1182890</v>
      </c>
      <c r="G306" s="91">
        <v>1164153</v>
      </c>
      <c r="H306" s="91">
        <v>122869</v>
      </c>
      <c r="I306" s="91">
        <v>63574.910000000011</v>
      </c>
      <c r="J306" s="91">
        <v>-43468</v>
      </c>
      <c r="K306" s="91">
        <v>1259483</v>
      </c>
      <c r="L306" s="91">
        <v>1109445</v>
      </c>
      <c r="M306" s="91">
        <v>1062753</v>
      </c>
      <c r="N306" s="91">
        <v>1323209</v>
      </c>
      <c r="O306" s="91">
        <v>92243</v>
      </c>
      <c r="P306" s="91">
        <v>35801</v>
      </c>
      <c r="Q306" s="91">
        <v>0</v>
      </c>
      <c r="R306" s="91">
        <v>0</v>
      </c>
      <c r="S306" s="91">
        <v>-48643</v>
      </c>
      <c r="T306" s="91">
        <v>60664</v>
      </c>
      <c r="U306" s="91">
        <v>0</v>
      </c>
      <c r="V306" s="202">
        <v>0</v>
      </c>
      <c r="W306" s="91">
        <v>-5175</v>
      </c>
      <c r="X306" s="91">
        <v>0</v>
      </c>
      <c r="Y306" s="91">
        <v>43468</v>
      </c>
      <c r="Z306" s="91">
        <v>0</v>
      </c>
      <c r="AA306" s="91">
        <v>0</v>
      </c>
      <c r="AB306" s="91">
        <v>-5175</v>
      </c>
      <c r="AC306" s="91">
        <v>-5175</v>
      </c>
      <c r="AD306" s="91">
        <v>-5175</v>
      </c>
      <c r="AE306" s="91">
        <v>-5175</v>
      </c>
      <c r="AF306" s="91">
        <v>-5175</v>
      </c>
      <c r="AG306" s="91">
        <v>-17593</v>
      </c>
      <c r="AH306" s="84">
        <v>9.4</v>
      </c>
      <c r="AI306" s="97">
        <f t="shared" si="4"/>
        <v>18737</v>
      </c>
    </row>
    <row r="307" spans="1:35">
      <c r="A307" s="55" t="s">
        <v>472</v>
      </c>
      <c r="B307" s="91">
        <v>1</v>
      </c>
      <c r="C307" s="91">
        <v>0</v>
      </c>
      <c r="D307" s="91">
        <v>36</v>
      </c>
      <c r="E307" s="90">
        <v>41</v>
      </c>
      <c r="F307" s="91">
        <v>114287</v>
      </c>
      <c r="G307" s="91">
        <v>108067</v>
      </c>
      <c r="H307" s="91">
        <v>13006</v>
      </c>
      <c r="I307" s="91">
        <v>3426.3600000000006</v>
      </c>
      <c r="J307" s="91">
        <v>-4562</v>
      </c>
      <c r="K307" s="91">
        <v>122298</v>
      </c>
      <c r="L307" s="91">
        <v>106821</v>
      </c>
      <c r="M307" s="91">
        <v>102240</v>
      </c>
      <c r="N307" s="91">
        <v>128724</v>
      </c>
      <c r="O307" s="91">
        <v>10164</v>
      </c>
      <c r="P307" s="91">
        <v>3420</v>
      </c>
      <c r="Q307" s="91">
        <v>0</v>
      </c>
      <c r="R307" s="91">
        <v>0</v>
      </c>
      <c r="S307" s="91">
        <v>-5140</v>
      </c>
      <c r="T307" s="91">
        <v>2224</v>
      </c>
      <c r="U307" s="91">
        <v>0</v>
      </c>
      <c r="V307" s="202">
        <v>0</v>
      </c>
      <c r="W307" s="91">
        <v>-578</v>
      </c>
      <c r="X307" s="91">
        <v>0</v>
      </c>
      <c r="Y307" s="91">
        <v>4562</v>
      </c>
      <c r="Z307" s="91">
        <v>0</v>
      </c>
      <c r="AA307" s="91">
        <v>0</v>
      </c>
      <c r="AB307" s="91">
        <v>-578</v>
      </c>
      <c r="AC307" s="91">
        <v>-578</v>
      </c>
      <c r="AD307" s="91">
        <v>-578</v>
      </c>
      <c r="AE307" s="91">
        <v>-578</v>
      </c>
      <c r="AF307" s="91">
        <v>-578</v>
      </c>
      <c r="AG307" s="91">
        <v>-1672</v>
      </c>
      <c r="AH307" s="84">
        <v>8.9</v>
      </c>
      <c r="AI307" s="97">
        <f t="shared" si="4"/>
        <v>6220</v>
      </c>
    </row>
    <row r="308" spans="1:35" ht="22.5">
      <c r="A308" s="55" t="s">
        <v>473</v>
      </c>
      <c r="B308" s="91">
        <v>0</v>
      </c>
      <c r="C308" s="91">
        <v>0</v>
      </c>
      <c r="D308" s="91">
        <v>1</v>
      </c>
      <c r="E308" s="90">
        <v>1</v>
      </c>
      <c r="F308" s="91">
        <v>9716</v>
      </c>
      <c r="G308" s="91">
        <v>9584</v>
      </c>
      <c r="H308" s="91">
        <v>481</v>
      </c>
      <c r="I308" s="91">
        <v>3.7599999999999909</v>
      </c>
      <c r="J308" s="91">
        <v>-349</v>
      </c>
      <c r="K308" s="91">
        <v>10323</v>
      </c>
      <c r="L308" s="91">
        <v>9076</v>
      </c>
      <c r="M308" s="91">
        <v>8768</v>
      </c>
      <c r="N308" s="91">
        <v>10771</v>
      </c>
      <c r="O308" s="91">
        <v>248</v>
      </c>
      <c r="P308" s="91">
        <v>287</v>
      </c>
      <c r="Q308" s="91">
        <v>0</v>
      </c>
      <c r="R308" s="91">
        <v>0</v>
      </c>
      <c r="S308" s="91">
        <v>-403</v>
      </c>
      <c r="T308" s="91">
        <v>0</v>
      </c>
      <c r="U308" s="91">
        <v>0</v>
      </c>
      <c r="V308" s="202">
        <v>0</v>
      </c>
      <c r="W308" s="91">
        <v>-54</v>
      </c>
      <c r="X308" s="91">
        <v>0</v>
      </c>
      <c r="Y308" s="91">
        <v>349</v>
      </c>
      <c r="Z308" s="91">
        <v>0</v>
      </c>
      <c r="AA308" s="91">
        <v>0</v>
      </c>
      <c r="AB308" s="91">
        <v>-54</v>
      </c>
      <c r="AC308" s="91">
        <v>-54</v>
      </c>
      <c r="AD308" s="91">
        <v>-54</v>
      </c>
      <c r="AE308" s="91">
        <v>-54</v>
      </c>
      <c r="AF308" s="91">
        <v>-54</v>
      </c>
      <c r="AG308" s="91">
        <v>-79</v>
      </c>
      <c r="AH308" s="84">
        <v>7.5</v>
      </c>
      <c r="AI308" s="97">
        <f t="shared" si="4"/>
        <v>132</v>
      </c>
    </row>
    <row r="309" spans="1:35">
      <c r="A309" s="55" t="s">
        <v>474</v>
      </c>
      <c r="B309" s="91">
        <v>0</v>
      </c>
      <c r="C309" s="91">
        <v>0</v>
      </c>
      <c r="D309" s="91">
        <v>51</v>
      </c>
      <c r="E309" s="90">
        <v>65</v>
      </c>
      <c r="F309" s="91">
        <v>70241</v>
      </c>
      <c r="G309" s="91">
        <v>64521</v>
      </c>
      <c r="H309" s="91">
        <v>8716</v>
      </c>
      <c r="I309" s="91">
        <v>1014.2000000000003</v>
      </c>
      <c r="J309" s="91">
        <v>-2996</v>
      </c>
      <c r="K309" s="91">
        <v>75559</v>
      </c>
      <c r="L309" s="91">
        <v>65312</v>
      </c>
      <c r="M309" s="91">
        <v>61802</v>
      </c>
      <c r="N309" s="91">
        <v>80461</v>
      </c>
      <c r="O309" s="91">
        <v>7054</v>
      </c>
      <c r="P309" s="91">
        <v>2090</v>
      </c>
      <c r="Q309" s="91">
        <v>0</v>
      </c>
      <c r="R309" s="91">
        <v>0</v>
      </c>
      <c r="S309" s="91">
        <v>-3424</v>
      </c>
      <c r="T309" s="91">
        <v>0</v>
      </c>
      <c r="U309" s="91">
        <v>0</v>
      </c>
      <c r="V309" s="202">
        <v>0</v>
      </c>
      <c r="W309" s="91">
        <v>-428</v>
      </c>
      <c r="X309" s="91">
        <v>0</v>
      </c>
      <c r="Y309" s="91">
        <v>2996</v>
      </c>
      <c r="Z309" s="91">
        <v>0</v>
      </c>
      <c r="AA309" s="91">
        <v>0</v>
      </c>
      <c r="AB309" s="91">
        <v>-428</v>
      </c>
      <c r="AC309" s="91">
        <v>-428</v>
      </c>
      <c r="AD309" s="91">
        <v>-428</v>
      </c>
      <c r="AE309" s="91">
        <v>-428</v>
      </c>
      <c r="AF309" s="91">
        <v>-428</v>
      </c>
      <c r="AG309" s="91">
        <v>-856</v>
      </c>
      <c r="AH309" s="84">
        <v>8</v>
      </c>
      <c r="AI309" s="97">
        <f t="shared" si="4"/>
        <v>5720</v>
      </c>
    </row>
    <row r="310" spans="1:35">
      <c r="A310" s="55" t="s">
        <v>475</v>
      </c>
      <c r="B310" s="91">
        <v>0</v>
      </c>
      <c r="C310" s="91">
        <v>0</v>
      </c>
      <c r="D310" s="91">
        <v>22</v>
      </c>
      <c r="E310" s="90">
        <v>25</v>
      </c>
      <c r="F310" s="91">
        <v>75539</v>
      </c>
      <c r="G310" s="91">
        <v>68479</v>
      </c>
      <c r="H310" s="91">
        <v>8964</v>
      </c>
      <c r="I310" s="91">
        <v>1403.0299999999993</v>
      </c>
      <c r="J310" s="91">
        <v>-1904</v>
      </c>
      <c r="K310" s="91">
        <v>79038</v>
      </c>
      <c r="L310" s="91">
        <v>72093</v>
      </c>
      <c r="M310" s="91">
        <v>69433</v>
      </c>
      <c r="N310" s="91">
        <v>82372</v>
      </c>
      <c r="O310" s="91">
        <v>7081</v>
      </c>
      <c r="P310" s="91">
        <v>2206</v>
      </c>
      <c r="Q310" s="91">
        <v>0</v>
      </c>
      <c r="R310" s="91">
        <v>0</v>
      </c>
      <c r="S310" s="91">
        <v>-2227</v>
      </c>
      <c r="T310" s="91">
        <v>0</v>
      </c>
      <c r="U310" s="91">
        <v>0</v>
      </c>
      <c r="V310" s="202">
        <v>0</v>
      </c>
      <c r="W310" s="91">
        <v>-323</v>
      </c>
      <c r="X310" s="91">
        <v>0</v>
      </c>
      <c r="Y310" s="91">
        <v>1904</v>
      </c>
      <c r="Z310" s="91">
        <v>0</v>
      </c>
      <c r="AA310" s="91">
        <v>0</v>
      </c>
      <c r="AB310" s="91">
        <v>-323</v>
      </c>
      <c r="AC310" s="91">
        <v>-323</v>
      </c>
      <c r="AD310" s="91">
        <v>-323</v>
      </c>
      <c r="AE310" s="91">
        <v>-323</v>
      </c>
      <c r="AF310" s="91">
        <v>-323</v>
      </c>
      <c r="AG310" s="91">
        <v>-289</v>
      </c>
      <c r="AH310" s="84">
        <v>6.9</v>
      </c>
      <c r="AI310" s="97">
        <f t="shared" si="4"/>
        <v>7060</v>
      </c>
    </row>
    <row r="311" spans="1:35">
      <c r="A311" s="55" t="s">
        <v>476</v>
      </c>
      <c r="B311" s="91">
        <v>0</v>
      </c>
      <c r="C311" s="91">
        <v>0</v>
      </c>
      <c r="D311" s="91">
        <v>49</v>
      </c>
      <c r="E311" s="90">
        <v>52</v>
      </c>
      <c r="F311" s="91">
        <v>23292</v>
      </c>
      <c r="G311" s="91">
        <v>20901</v>
      </c>
      <c r="H311" s="91">
        <v>3536</v>
      </c>
      <c r="I311" s="91">
        <v>49.060000000000059</v>
      </c>
      <c r="J311" s="91">
        <v>-1145</v>
      </c>
      <c r="K311" s="91">
        <v>25239</v>
      </c>
      <c r="L311" s="91">
        <v>21423</v>
      </c>
      <c r="M311" s="91">
        <v>20397</v>
      </c>
      <c r="N311" s="91">
        <v>26670</v>
      </c>
      <c r="O311" s="91">
        <v>2989</v>
      </c>
      <c r="P311" s="91">
        <v>698</v>
      </c>
      <c r="Q311" s="91">
        <v>0</v>
      </c>
      <c r="R311" s="91">
        <v>0</v>
      </c>
      <c r="S311" s="91">
        <v>-1296</v>
      </c>
      <c r="T311" s="91">
        <v>0</v>
      </c>
      <c r="U311" s="91">
        <v>0</v>
      </c>
      <c r="V311" s="202">
        <v>0</v>
      </c>
      <c r="W311" s="91">
        <v>-151</v>
      </c>
      <c r="X311" s="91">
        <v>0</v>
      </c>
      <c r="Y311" s="91">
        <v>1145</v>
      </c>
      <c r="Z311" s="91">
        <v>0</v>
      </c>
      <c r="AA311" s="91">
        <v>0</v>
      </c>
      <c r="AB311" s="91">
        <v>-151</v>
      </c>
      <c r="AC311" s="91">
        <v>-151</v>
      </c>
      <c r="AD311" s="91">
        <v>-151</v>
      </c>
      <c r="AE311" s="91">
        <v>-151</v>
      </c>
      <c r="AF311" s="91">
        <v>-151</v>
      </c>
      <c r="AG311" s="91">
        <v>-390</v>
      </c>
      <c r="AH311" s="84">
        <v>8.6</v>
      </c>
      <c r="AI311" s="97">
        <f t="shared" si="4"/>
        <v>2391</v>
      </c>
    </row>
    <row r="312" spans="1:35">
      <c r="A312" s="55" t="s">
        <v>477</v>
      </c>
      <c r="B312" s="91">
        <v>0</v>
      </c>
      <c r="C312" s="91">
        <v>0</v>
      </c>
      <c r="D312" s="91">
        <v>208</v>
      </c>
      <c r="E312" s="90">
        <v>226</v>
      </c>
      <c r="F312" s="91">
        <v>275577</v>
      </c>
      <c r="G312" s="91">
        <v>256071</v>
      </c>
      <c r="H312" s="91">
        <v>35258</v>
      </c>
      <c r="I312" s="91">
        <v>1514.4899999999966</v>
      </c>
      <c r="J312" s="91">
        <v>-15752</v>
      </c>
      <c r="K312" s="91">
        <v>303218</v>
      </c>
      <c r="L312" s="91">
        <v>250113</v>
      </c>
      <c r="M312" s="91">
        <v>235624</v>
      </c>
      <c r="N312" s="91">
        <v>324006</v>
      </c>
      <c r="O312" s="91">
        <v>28693</v>
      </c>
      <c r="P312" s="91">
        <v>8315</v>
      </c>
      <c r="Q312" s="91">
        <v>0</v>
      </c>
      <c r="R312" s="91">
        <v>0</v>
      </c>
      <c r="S312" s="91">
        <v>-17502</v>
      </c>
      <c r="T312" s="91">
        <v>0</v>
      </c>
      <c r="U312" s="91">
        <v>0</v>
      </c>
      <c r="V312" s="202">
        <v>0</v>
      </c>
      <c r="W312" s="91">
        <v>-1750</v>
      </c>
      <c r="X312" s="91">
        <v>0</v>
      </c>
      <c r="Y312" s="91">
        <v>15752</v>
      </c>
      <c r="Z312" s="91">
        <v>0</v>
      </c>
      <c r="AA312" s="91">
        <v>0</v>
      </c>
      <c r="AB312" s="91">
        <v>-1750</v>
      </c>
      <c r="AC312" s="91">
        <v>-1750</v>
      </c>
      <c r="AD312" s="91">
        <v>-1750</v>
      </c>
      <c r="AE312" s="91">
        <v>-1750</v>
      </c>
      <c r="AF312" s="91">
        <v>-1750</v>
      </c>
      <c r="AG312" s="91">
        <v>-7002</v>
      </c>
      <c r="AH312" s="84">
        <v>10</v>
      </c>
      <c r="AI312" s="97">
        <f t="shared" si="4"/>
        <v>19506</v>
      </c>
    </row>
    <row r="313" spans="1:35">
      <c r="A313" s="55" t="s">
        <v>478</v>
      </c>
      <c r="B313" s="91">
        <v>0</v>
      </c>
      <c r="C313" s="91">
        <v>0</v>
      </c>
      <c r="D313" s="91">
        <v>72</v>
      </c>
      <c r="E313" s="90">
        <v>77</v>
      </c>
      <c r="F313" s="91">
        <v>68461</v>
      </c>
      <c r="G313" s="91">
        <v>64518</v>
      </c>
      <c r="H313" s="91">
        <v>8615</v>
      </c>
      <c r="I313" s="91">
        <v>231.51</v>
      </c>
      <c r="J313" s="91">
        <v>-4672</v>
      </c>
      <c r="K313" s="91">
        <v>76596</v>
      </c>
      <c r="L313" s="91">
        <v>61068</v>
      </c>
      <c r="M313" s="91">
        <v>57661</v>
      </c>
      <c r="N313" s="91">
        <v>81721</v>
      </c>
      <c r="O313" s="91">
        <v>7050</v>
      </c>
      <c r="P313" s="91">
        <v>2090</v>
      </c>
      <c r="Q313" s="91">
        <v>0</v>
      </c>
      <c r="R313" s="91">
        <v>0</v>
      </c>
      <c r="S313" s="91">
        <v>-5197</v>
      </c>
      <c r="T313" s="91">
        <v>0</v>
      </c>
      <c r="U313" s="91">
        <v>0</v>
      </c>
      <c r="V313" s="202">
        <v>0</v>
      </c>
      <c r="W313" s="91">
        <v>-525</v>
      </c>
      <c r="X313" s="91">
        <v>0</v>
      </c>
      <c r="Y313" s="91">
        <v>4672</v>
      </c>
      <c r="Z313" s="91">
        <v>0</v>
      </c>
      <c r="AA313" s="91">
        <v>0</v>
      </c>
      <c r="AB313" s="91">
        <v>-525</v>
      </c>
      <c r="AC313" s="91">
        <v>-525</v>
      </c>
      <c r="AD313" s="91">
        <v>-525</v>
      </c>
      <c r="AE313" s="91">
        <v>-525</v>
      </c>
      <c r="AF313" s="91">
        <v>-525</v>
      </c>
      <c r="AG313" s="91">
        <v>-2047</v>
      </c>
      <c r="AH313" s="84">
        <v>9.9</v>
      </c>
      <c r="AI313" s="97">
        <f t="shared" si="4"/>
        <v>3943</v>
      </c>
    </row>
    <row r="314" spans="1:35">
      <c r="A314" s="55" t="s">
        <v>479</v>
      </c>
      <c r="B314" s="91">
        <v>0</v>
      </c>
      <c r="C314" s="91">
        <v>0</v>
      </c>
      <c r="D314" s="91">
        <v>91</v>
      </c>
      <c r="E314" s="90">
        <v>101</v>
      </c>
      <c r="F314" s="91">
        <v>96851</v>
      </c>
      <c r="G314" s="91">
        <v>84368</v>
      </c>
      <c r="H314" s="91">
        <v>17511</v>
      </c>
      <c r="I314" s="91">
        <v>521.25999999999908</v>
      </c>
      <c r="J314" s="91">
        <v>-5028</v>
      </c>
      <c r="K314" s="91">
        <v>105470</v>
      </c>
      <c r="L314" s="91">
        <v>88536</v>
      </c>
      <c r="M314" s="91">
        <v>83354</v>
      </c>
      <c r="N314" s="91">
        <v>113088</v>
      </c>
      <c r="O314" s="91">
        <v>15140</v>
      </c>
      <c r="P314" s="91">
        <v>2906</v>
      </c>
      <c r="Q314" s="91">
        <v>0</v>
      </c>
      <c r="R314" s="91">
        <v>0</v>
      </c>
      <c r="S314" s="91">
        <v>-5563</v>
      </c>
      <c r="T314" s="91">
        <v>0</v>
      </c>
      <c r="U314" s="91">
        <v>0</v>
      </c>
      <c r="V314" s="202">
        <v>0</v>
      </c>
      <c r="W314" s="91">
        <v>-535</v>
      </c>
      <c r="X314" s="91">
        <v>0</v>
      </c>
      <c r="Y314" s="91">
        <v>5028</v>
      </c>
      <c r="Z314" s="91">
        <v>0</v>
      </c>
      <c r="AA314" s="91">
        <v>0</v>
      </c>
      <c r="AB314" s="91">
        <v>-535</v>
      </c>
      <c r="AC314" s="91">
        <v>-535</v>
      </c>
      <c r="AD314" s="91">
        <v>-535</v>
      </c>
      <c r="AE314" s="91">
        <v>-535</v>
      </c>
      <c r="AF314" s="91">
        <v>-535</v>
      </c>
      <c r="AG314" s="91">
        <v>-2353</v>
      </c>
      <c r="AH314" s="84">
        <v>10.4</v>
      </c>
      <c r="AI314" s="97">
        <f t="shared" si="4"/>
        <v>12483</v>
      </c>
    </row>
    <row r="315" spans="1:35" ht="22.5">
      <c r="A315" s="55" t="s">
        <v>480</v>
      </c>
      <c r="B315" s="91">
        <v>0</v>
      </c>
      <c r="C315" s="91">
        <v>0</v>
      </c>
      <c r="D315" s="91">
        <v>5</v>
      </c>
      <c r="E315" s="90">
        <v>5</v>
      </c>
      <c r="F315" s="91">
        <v>2926</v>
      </c>
      <c r="G315" s="91">
        <v>1820</v>
      </c>
      <c r="H315" s="91">
        <v>1199</v>
      </c>
      <c r="I315" s="91">
        <v>340.21000000000015</v>
      </c>
      <c r="J315" s="91">
        <v>-93</v>
      </c>
      <c r="K315" s="91">
        <v>3085</v>
      </c>
      <c r="L315" s="91">
        <v>2813</v>
      </c>
      <c r="M315" s="91">
        <v>2757</v>
      </c>
      <c r="N315" s="91">
        <v>3167</v>
      </c>
      <c r="O315" s="91">
        <v>1132</v>
      </c>
      <c r="P315" s="91">
        <v>86</v>
      </c>
      <c r="Q315" s="91">
        <v>0</v>
      </c>
      <c r="R315" s="91">
        <v>0</v>
      </c>
      <c r="S315" s="91">
        <v>-112</v>
      </c>
      <c r="T315" s="91">
        <v>0</v>
      </c>
      <c r="U315" s="91">
        <v>0</v>
      </c>
      <c r="V315" s="202">
        <v>0</v>
      </c>
      <c r="W315" s="91">
        <v>-19</v>
      </c>
      <c r="X315" s="91">
        <v>0</v>
      </c>
      <c r="Y315" s="91">
        <v>93</v>
      </c>
      <c r="Z315" s="91">
        <v>0</v>
      </c>
      <c r="AA315" s="91">
        <v>0</v>
      </c>
      <c r="AB315" s="91">
        <v>-19</v>
      </c>
      <c r="AC315" s="91">
        <v>-19</v>
      </c>
      <c r="AD315" s="91">
        <v>-19</v>
      </c>
      <c r="AE315" s="91">
        <v>-19</v>
      </c>
      <c r="AF315" s="91">
        <v>-17</v>
      </c>
      <c r="AG315" s="91">
        <v>0</v>
      </c>
      <c r="AH315" s="84">
        <v>5.9</v>
      </c>
      <c r="AI315" s="97">
        <f t="shared" si="4"/>
        <v>1106</v>
      </c>
    </row>
    <row r="316" spans="1:35">
      <c r="A316" s="55" t="s">
        <v>481</v>
      </c>
      <c r="B316" s="91">
        <v>0</v>
      </c>
      <c r="C316" s="91">
        <v>0</v>
      </c>
      <c r="D316" s="91">
        <v>40</v>
      </c>
      <c r="E316" s="90">
        <v>45</v>
      </c>
      <c r="F316" s="91">
        <v>40765</v>
      </c>
      <c r="G316" s="91">
        <v>35496</v>
      </c>
      <c r="H316" s="91">
        <v>6803</v>
      </c>
      <c r="I316" s="91">
        <v>982.06000000000085</v>
      </c>
      <c r="J316" s="91">
        <v>-1534</v>
      </c>
      <c r="K316" s="91">
        <v>43400</v>
      </c>
      <c r="L316" s="91">
        <v>38164</v>
      </c>
      <c r="M316" s="91">
        <v>35931</v>
      </c>
      <c r="N316" s="91">
        <v>46694</v>
      </c>
      <c r="O316" s="91">
        <v>5787</v>
      </c>
      <c r="P316" s="91">
        <v>1205</v>
      </c>
      <c r="Q316" s="91">
        <v>0</v>
      </c>
      <c r="R316" s="91">
        <v>0</v>
      </c>
      <c r="S316" s="91">
        <v>-1723</v>
      </c>
      <c r="T316" s="91">
        <v>0</v>
      </c>
      <c r="U316" s="91">
        <v>0</v>
      </c>
      <c r="V316" s="202">
        <v>0</v>
      </c>
      <c r="W316" s="91">
        <v>-189</v>
      </c>
      <c r="X316" s="91">
        <v>0</v>
      </c>
      <c r="Y316" s="91">
        <v>1534</v>
      </c>
      <c r="Z316" s="91">
        <v>0</v>
      </c>
      <c r="AA316" s="91">
        <v>0</v>
      </c>
      <c r="AB316" s="91">
        <v>-189</v>
      </c>
      <c r="AC316" s="91">
        <v>-189</v>
      </c>
      <c r="AD316" s="91">
        <v>-189</v>
      </c>
      <c r="AE316" s="91">
        <v>-189</v>
      </c>
      <c r="AF316" s="91">
        <v>-189</v>
      </c>
      <c r="AG316" s="91">
        <v>-589</v>
      </c>
      <c r="AH316" s="84">
        <v>9.1</v>
      </c>
      <c r="AI316" s="97">
        <f t="shared" si="4"/>
        <v>5269</v>
      </c>
    </row>
    <row r="317" spans="1:35">
      <c r="A317" s="55" t="s">
        <v>482</v>
      </c>
      <c r="B317" s="91">
        <v>0</v>
      </c>
      <c r="C317" s="91">
        <v>0</v>
      </c>
      <c r="D317" s="91">
        <v>6</v>
      </c>
      <c r="E317" s="90">
        <v>8</v>
      </c>
      <c r="F317" s="91">
        <v>4748</v>
      </c>
      <c r="G317" s="91">
        <v>3427</v>
      </c>
      <c r="H317" s="91">
        <v>1533</v>
      </c>
      <c r="I317" s="91">
        <v>130.90999999999997</v>
      </c>
      <c r="J317" s="91">
        <v>-212</v>
      </c>
      <c r="K317" s="91">
        <v>5080</v>
      </c>
      <c r="L317" s="91">
        <v>4408</v>
      </c>
      <c r="M317" s="91">
        <v>4078</v>
      </c>
      <c r="N317" s="91">
        <v>5508</v>
      </c>
      <c r="O317" s="91">
        <v>1414</v>
      </c>
      <c r="P317" s="91">
        <v>141</v>
      </c>
      <c r="Q317" s="91">
        <v>0</v>
      </c>
      <c r="R317" s="91">
        <v>0</v>
      </c>
      <c r="S317" s="91">
        <v>-234</v>
      </c>
      <c r="T317" s="91">
        <v>0</v>
      </c>
      <c r="U317" s="91">
        <v>0</v>
      </c>
      <c r="V317" s="202">
        <v>0</v>
      </c>
      <c r="W317" s="91">
        <v>-22</v>
      </c>
      <c r="X317" s="91">
        <v>0</v>
      </c>
      <c r="Y317" s="91">
        <v>212</v>
      </c>
      <c r="Z317" s="91">
        <v>0</v>
      </c>
      <c r="AA317" s="91">
        <v>0</v>
      </c>
      <c r="AB317" s="91">
        <v>-22</v>
      </c>
      <c r="AC317" s="91">
        <v>-22</v>
      </c>
      <c r="AD317" s="91">
        <v>-22</v>
      </c>
      <c r="AE317" s="91">
        <v>-22</v>
      </c>
      <c r="AF317" s="91">
        <v>-22</v>
      </c>
      <c r="AG317" s="91">
        <v>-102</v>
      </c>
      <c r="AH317" s="84">
        <v>10.6</v>
      </c>
      <c r="AI317" s="97">
        <f t="shared" si="4"/>
        <v>1321</v>
      </c>
    </row>
    <row r="318" spans="1:35">
      <c r="A318" s="55" t="s">
        <v>483</v>
      </c>
      <c r="B318" s="91">
        <v>0</v>
      </c>
      <c r="C318" s="91">
        <v>0</v>
      </c>
      <c r="D318" s="91">
        <v>0</v>
      </c>
      <c r="E318" s="90">
        <v>0</v>
      </c>
      <c r="F318" s="91">
        <v>0</v>
      </c>
      <c r="G318" s="91">
        <v>0</v>
      </c>
      <c r="H318" s="91">
        <v>0</v>
      </c>
      <c r="I318" s="91">
        <v>0</v>
      </c>
      <c r="J318" s="91">
        <v>0</v>
      </c>
      <c r="K318" s="91">
        <v>0</v>
      </c>
      <c r="L318" s="91">
        <v>0</v>
      </c>
      <c r="M318" s="91">
        <v>0</v>
      </c>
      <c r="N318" s="91">
        <v>0</v>
      </c>
      <c r="O318" s="91">
        <v>0</v>
      </c>
      <c r="P318" s="91">
        <v>0</v>
      </c>
      <c r="Q318" s="91">
        <v>0</v>
      </c>
      <c r="R318" s="91">
        <v>0</v>
      </c>
      <c r="S318" s="91">
        <v>0</v>
      </c>
      <c r="T318" s="91">
        <v>0</v>
      </c>
      <c r="U318" s="91">
        <v>0</v>
      </c>
      <c r="V318" s="202">
        <v>0</v>
      </c>
      <c r="W318" s="91">
        <v>0</v>
      </c>
      <c r="X318" s="91">
        <v>0</v>
      </c>
      <c r="Y318" s="91">
        <v>0</v>
      </c>
      <c r="Z318" s="91">
        <v>0</v>
      </c>
      <c r="AA318" s="91">
        <v>0</v>
      </c>
      <c r="AB318" s="91">
        <v>0</v>
      </c>
      <c r="AC318" s="91">
        <v>0</v>
      </c>
      <c r="AD318" s="91">
        <v>0</v>
      </c>
      <c r="AE318" s="91">
        <v>0</v>
      </c>
      <c r="AF318" s="91">
        <v>0</v>
      </c>
      <c r="AG318" s="91">
        <v>0</v>
      </c>
      <c r="AH318" s="84">
        <v>1</v>
      </c>
      <c r="AI318" s="97">
        <f t="shared" si="4"/>
        <v>0</v>
      </c>
    </row>
    <row r="319" spans="1:35">
      <c r="A319" s="55" t="s">
        <v>484</v>
      </c>
      <c r="B319" s="91">
        <v>0</v>
      </c>
      <c r="C319" s="91">
        <v>0</v>
      </c>
      <c r="D319" s="91">
        <v>12</v>
      </c>
      <c r="E319" s="90">
        <v>13</v>
      </c>
      <c r="F319" s="91">
        <v>14993</v>
      </c>
      <c r="G319" s="91">
        <v>13228</v>
      </c>
      <c r="H319" s="91">
        <v>2494</v>
      </c>
      <c r="I319" s="91">
        <v>1.8900000000000006</v>
      </c>
      <c r="J319" s="91">
        <v>-729</v>
      </c>
      <c r="K319" s="91">
        <v>16277</v>
      </c>
      <c r="L319" s="91">
        <v>13789</v>
      </c>
      <c r="M319" s="91">
        <v>13055</v>
      </c>
      <c r="N319" s="91">
        <v>17298</v>
      </c>
      <c r="O319" s="91">
        <v>2122</v>
      </c>
      <c r="P319" s="91">
        <v>448</v>
      </c>
      <c r="Q319" s="91">
        <v>0</v>
      </c>
      <c r="R319" s="91">
        <v>0</v>
      </c>
      <c r="S319" s="91">
        <v>-805</v>
      </c>
      <c r="T319" s="91">
        <v>0</v>
      </c>
      <c r="U319" s="91">
        <v>0</v>
      </c>
      <c r="V319" s="202">
        <v>0</v>
      </c>
      <c r="W319" s="91">
        <v>-76</v>
      </c>
      <c r="X319" s="91">
        <v>0</v>
      </c>
      <c r="Y319" s="91">
        <v>729</v>
      </c>
      <c r="Z319" s="91">
        <v>0</v>
      </c>
      <c r="AA319" s="91">
        <v>0</v>
      </c>
      <c r="AB319" s="91">
        <v>-76</v>
      </c>
      <c r="AC319" s="91">
        <v>-76</v>
      </c>
      <c r="AD319" s="91">
        <v>-76</v>
      </c>
      <c r="AE319" s="91">
        <v>-76</v>
      </c>
      <c r="AF319" s="91">
        <v>-76</v>
      </c>
      <c r="AG319" s="91">
        <v>-349</v>
      </c>
      <c r="AH319" s="84">
        <v>10.6</v>
      </c>
      <c r="AI319" s="97">
        <f t="shared" si="4"/>
        <v>1765</v>
      </c>
    </row>
    <row r="320" spans="1:35">
      <c r="A320" s="55" t="s">
        <v>485</v>
      </c>
      <c r="B320" s="91">
        <v>0</v>
      </c>
      <c r="C320" s="91">
        <v>0</v>
      </c>
      <c r="D320" s="91">
        <v>240</v>
      </c>
      <c r="E320" s="90">
        <v>258</v>
      </c>
      <c r="F320" s="91">
        <v>78785</v>
      </c>
      <c r="G320" s="91">
        <v>64498</v>
      </c>
      <c r="H320" s="91">
        <v>18460</v>
      </c>
      <c r="I320" s="91">
        <v>149.39000000000078</v>
      </c>
      <c r="J320" s="91">
        <v>-4173</v>
      </c>
      <c r="K320" s="91">
        <v>86324</v>
      </c>
      <c r="L320" s="91">
        <v>71693</v>
      </c>
      <c r="M320" s="91">
        <v>66984</v>
      </c>
      <c r="N320" s="91">
        <v>93068</v>
      </c>
      <c r="O320" s="91">
        <v>16529</v>
      </c>
      <c r="P320" s="91">
        <v>2366</v>
      </c>
      <c r="Q320" s="91">
        <v>0</v>
      </c>
      <c r="R320" s="91">
        <v>0</v>
      </c>
      <c r="S320" s="91">
        <v>-4608</v>
      </c>
      <c r="T320" s="91">
        <v>0</v>
      </c>
      <c r="U320" s="91">
        <v>0</v>
      </c>
      <c r="V320" s="202">
        <v>0</v>
      </c>
      <c r="W320" s="91">
        <v>-435</v>
      </c>
      <c r="X320" s="91">
        <v>0</v>
      </c>
      <c r="Y320" s="91">
        <v>4173</v>
      </c>
      <c r="Z320" s="91">
        <v>0</v>
      </c>
      <c r="AA320" s="91">
        <v>0</v>
      </c>
      <c r="AB320" s="91">
        <v>-435</v>
      </c>
      <c r="AC320" s="91">
        <v>-435</v>
      </c>
      <c r="AD320" s="91">
        <v>-435</v>
      </c>
      <c r="AE320" s="91">
        <v>-435</v>
      </c>
      <c r="AF320" s="91">
        <v>-435</v>
      </c>
      <c r="AG320" s="91">
        <v>-1998</v>
      </c>
      <c r="AH320" s="84">
        <v>10.6</v>
      </c>
      <c r="AI320" s="97">
        <f t="shared" si="4"/>
        <v>14287</v>
      </c>
    </row>
    <row r="321" spans="1:35">
      <c r="A321" s="55" t="s">
        <v>486</v>
      </c>
      <c r="B321" s="91">
        <v>0</v>
      </c>
      <c r="C321" s="91">
        <v>0</v>
      </c>
      <c r="D321" s="91">
        <v>0</v>
      </c>
      <c r="E321" s="90">
        <v>0</v>
      </c>
      <c r="F321" s="91">
        <v>0</v>
      </c>
      <c r="G321" s="91">
        <v>0</v>
      </c>
      <c r="H321" s="91">
        <v>0</v>
      </c>
      <c r="I321" s="91">
        <v>0</v>
      </c>
      <c r="J321" s="91">
        <v>0</v>
      </c>
      <c r="K321" s="91">
        <v>0</v>
      </c>
      <c r="L321" s="91">
        <v>0</v>
      </c>
      <c r="M321" s="91">
        <v>0</v>
      </c>
      <c r="N321" s="91">
        <v>0</v>
      </c>
      <c r="O321" s="91">
        <v>0</v>
      </c>
      <c r="P321" s="91">
        <v>0</v>
      </c>
      <c r="Q321" s="91">
        <v>0</v>
      </c>
      <c r="R321" s="91">
        <v>0</v>
      </c>
      <c r="S321" s="91">
        <v>0</v>
      </c>
      <c r="T321" s="91">
        <v>0</v>
      </c>
      <c r="U321" s="91">
        <v>0</v>
      </c>
      <c r="V321" s="202">
        <v>0</v>
      </c>
      <c r="W321" s="91">
        <v>0</v>
      </c>
      <c r="X321" s="91">
        <v>0</v>
      </c>
      <c r="Y321" s="91">
        <v>0</v>
      </c>
      <c r="Z321" s="91">
        <v>0</v>
      </c>
      <c r="AA321" s="91">
        <v>0</v>
      </c>
      <c r="AB321" s="91">
        <v>0</v>
      </c>
      <c r="AC321" s="91">
        <v>0</v>
      </c>
      <c r="AD321" s="91">
        <v>0</v>
      </c>
      <c r="AE321" s="91">
        <v>0</v>
      </c>
      <c r="AF321" s="91">
        <v>0</v>
      </c>
      <c r="AG321" s="91">
        <v>0</v>
      </c>
      <c r="AH321" s="84">
        <v>1</v>
      </c>
      <c r="AI321" s="97">
        <f t="shared" si="4"/>
        <v>0</v>
      </c>
    </row>
    <row r="322" spans="1:35">
      <c r="A322" s="55" t="s">
        <v>487</v>
      </c>
      <c r="B322" s="91">
        <v>0</v>
      </c>
      <c r="C322" s="91">
        <v>0</v>
      </c>
      <c r="D322" s="91">
        <v>202</v>
      </c>
      <c r="E322" s="90">
        <v>249</v>
      </c>
      <c r="F322" s="91">
        <v>253203</v>
      </c>
      <c r="G322" s="91">
        <v>227200</v>
      </c>
      <c r="H322" s="91">
        <v>36266</v>
      </c>
      <c r="I322" s="91">
        <v>4065.7599999999966</v>
      </c>
      <c r="J322" s="91">
        <v>-10263</v>
      </c>
      <c r="K322" s="91">
        <v>271548</v>
      </c>
      <c r="L322" s="91">
        <v>235799</v>
      </c>
      <c r="M322" s="91">
        <v>224549</v>
      </c>
      <c r="N322" s="91">
        <v>286602</v>
      </c>
      <c r="O322" s="91">
        <v>30157</v>
      </c>
      <c r="P322" s="91">
        <v>7515</v>
      </c>
      <c r="Q322" s="91">
        <v>0</v>
      </c>
      <c r="R322" s="91">
        <v>0</v>
      </c>
      <c r="S322" s="91">
        <v>-11669</v>
      </c>
      <c r="T322" s="91">
        <v>0</v>
      </c>
      <c r="U322" s="91">
        <v>0</v>
      </c>
      <c r="V322" s="202">
        <v>0</v>
      </c>
      <c r="W322" s="91">
        <v>-1406</v>
      </c>
      <c r="X322" s="91">
        <v>0</v>
      </c>
      <c r="Y322" s="91">
        <v>10263</v>
      </c>
      <c r="Z322" s="91">
        <v>0</v>
      </c>
      <c r="AA322" s="91">
        <v>0</v>
      </c>
      <c r="AB322" s="91">
        <v>-1406</v>
      </c>
      <c r="AC322" s="91">
        <v>-1406</v>
      </c>
      <c r="AD322" s="91">
        <v>-1406</v>
      </c>
      <c r="AE322" s="91">
        <v>-1406</v>
      </c>
      <c r="AF322" s="91">
        <v>-1406</v>
      </c>
      <c r="AG322" s="91">
        <v>-3233</v>
      </c>
      <c r="AH322" s="84">
        <v>8.3000000000000007</v>
      </c>
      <c r="AI322" s="97">
        <f t="shared" si="4"/>
        <v>26003</v>
      </c>
    </row>
    <row r="323" spans="1:35">
      <c r="A323" s="55" t="s">
        <v>488</v>
      </c>
      <c r="B323" s="91">
        <v>0</v>
      </c>
      <c r="C323" s="91">
        <v>0</v>
      </c>
      <c r="D323" s="91">
        <v>0</v>
      </c>
      <c r="E323" s="90">
        <v>0</v>
      </c>
      <c r="F323" s="91">
        <v>0</v>
      </c>
      <c r="G323" s="91">
        <v>0</v>
      </c>
      <c r="H323" s="91">
        <v>0</v>
      </c>
      <c r="I323" s="91">
        <v>0</v>
      </c>
      <c r="J323" s="91">
        <v>0</v>
      </c>
      <c r="K323" s="91">
        <v>0</v>
      </c>
      <c r="L323" s="91">
        <v>0</v>
      </c>
      <c r="M323" s="91">
        <v>0</v>
      </c>
      <c r="N323" s="91">
        <v>0</v>
      </c>
      <c r="O323" s="91">
        <v>0</v>
      </c>
      <c r="P323" s="91">
        <v>0</v>
      </c>
      <c r="Q323" s="91">
        <v>0</v>
      </c>
      <c r="R323" s="91">
        <v>0</v>
      </c>
      <c r="S323" s="91">
        <v>0</v>
      </c>
      <c r="T323" s="91">
        <v>0</v>
      </c>
      <c r="U323" s="91">
        <v>0</v>
      </c>
      <c r="V323" s="202">
        <v>0</v>
      </c>
      <c r="W323" s="91">
        <v>0</v>
      </c>
      <c r="X323" s="91">
        <v>0</v>
      </c>
      <c r="Y323" s="91">
        <v>0</v>
      </c>
      <c r="Z323" s="91">
        <v>0</v>
      </c>
      <c r="AA323" s="91">
        <v>0</v>
      </c>
      <c r="AB323" s="91">
        <v>0</v>
      </c>
      <c r="AC323" s="91">
        <v>0</v>
      </c>
      <c r="AD323" s="91">
        <v>0</v>
      </c>
      <c r="AE323" s="91">
        <v>0</v>
      </c>
      <c r="AF323" s="91">
        <v>0</v>
      </c>
      <c r="AG323" s="91">
        <v>0</v>
      </c>
      <c r="AH323" s="84">
        <v>1</v>
      </c>
      <c r="AI323" s="97">
        <f t="shared" si="4"/>
        <v>0</v>
      </c>
    </row>
    <row r="324" spans="1:35">
      <c r="A324" s="55" t="s">
        <v>489</v>
      </c>
      <c r="B324" s="91">
        <v>0</v>
      </c>
      <c r="C324" s="91">
        <v>0</v>
      </c>
      <c r="D324" s="91">
        <v>0</v>
      </c>
      <c r="E324" s="90">
        <v>0</v>
      </c>
      <c r="F324" s="91">
        <v>0</v>
      </c>
      <c r="G324" s="91">
        <v>0</v>
      </c>
      <c r="H324" s="91">
        <v>0</v>
      </c>
      <c r="I324" s="91">
        <v>0</v>
      </c>
      <c r="J324" s="91">
        <v>0</v>
      </c>
      <c r="K324" s="91">
        <v>0</v>
      </c>
      <c r="L324" s="91">
        <v>0</v>
      </c>
      <c r="M324" s="91">
        <v>0</v>
      </c>
      <c r="N324" s="91">
        <v>0</v>
      </c>
      <c r="O324" s="91">
        <v>0</v>
      </c>
      <c r="P324" s="91">
        <v>0</v>
      </c>
      <c r="Q324" s="91">
        <v>0</v>
      </c>
      <c r="R324" s="91">
        <v>0</v>
      </c>
      <c r="S324" s="91">
        <v>0</v>
      </c>
      <c r="T324" s="91">
        <v>0</v>
      </c>
      <c r="U324" s="91">
        <v>0</v>
      </c>
      <c r="V324" s="202">
        <v>0</v>
      </c>
      <c r="W324" s="91">
        <v>0</v>
      </c>
      <c r="X324" s="91">
        <v>0</v>
      </c>
      <c r="Y324" s="91">
        <v>0</v>
      </c>
      <c r="Z324" s="91">
        <v>0</v>
      </c>
      <c r="AA324" s="91">
        <v>0</v>
      </c>
      <c r="AB324" s="91">
        <v>0</v>
      </c>
      <c r="AC324" s="91">
        <v>0</v>
      </c>
      <c r="AD324" s="91">
        <v>0</v>
      </c>
      <c r="AE324" s="91">
        <v>0</v>
      </c>
      <c r="AF324" s="91">
        <v>0</v>
      </c>
      <c r="AG324" s="91">
        <v>0</v>
      </c>
      <c r="AH324" s="84">
        <v>1</v>
      </c>
      <c r="AI324" s="97">
        <f t="shared" si="4"/>
        <v>0</v>
      </c>
    </row>
    <row r="325" spans="1:35" ht="22.5">
      <c r="A325" s="55" t="s">
        <v>490</v>
      </c>
      <c r="B325" s="91">
        <v>0</v>
      </c>
      <c r="C325" s="91">
        <v>0</v>
      </c>
      <c r="D325" s="91">
        <v>0</v>
      </c>
      <c r="E325" s="90">
        <v>0</v>
      </c>
      <c r="F325" s="91">
        <v>0</v>
      </c>
      <c r="G325" s="91">
        <v>0</v>
      </c>
      <c r="H325" s="91">
        <v>0</v>
      </c>
      <c r="I325" s="91">
        <v>0</v>
      </c>
      <c r="J325" s="91">
        <v>0</v>
      </c>
      <c r="K325" s="91">
        <v>0</v>
      </c>
      <c r="L325" s="91">
        <v>0</v>
      </c>
      <c r="M325" s="91">
        <v>0</v>
      </c>
      <c r="N325" s="91">
        <v>0</v>
      </c>
      <c r="O325" s="91">
        <v>0</v>
      </c>
      <c r="P325" s="91">
        <v>0</v>
      </c>
      <c r="Q325" s="91">
        <v>0</v>
      </c>
      <c r="R325" s="91">
        <v>0</v>
      </c>
      <c r="S325" s="91">
        <v>0</v>
      </c>
      <c r="T325" s="91">
        <v>0</v>
      </c>
      <c r="U325" s="91">
        <v>0</v>
      </c>
      <c r="V325" s="202">
        <v>0</v>
      </c>
      <c r="W325" s="91">
        <v>0</v>
      </c>
      <c r="X325" s="91">
        <v>0</v>
      </c>
      <c r="Y325" s="91">
        <v>0</v>
      </c>
      <c r="Z325" s="91">
        <v>0</v>
      </c>
      <c r="AA325" s="91">
        <v>0</v>
      </c>
      <c r="AB325" s="91">
        <v>0</v>
      </c>
      <c r="AC325" s="91">
        <v>0</v>
      </c>
      <c r="AD325" s="91">
        <v>0</v>
      </c>
      <c r="AE325" s="91">
        <v>0</v>
      </c>
      <c r="AF325" s="91">
        <v>0</v>
      </c>
      <c r="AG325" s="91">
        <v>0</v>
      </c>
      <c r="AH325" s="84">
        <v>1</v>
      </c>
      <c r="AI325" s="97">
        <f t="shared" ref="AI325:AI388" si="5">O325+P325+Q325+R325+S325-T325</f>
        <v>0</v>
      </c>
    </row>
    <row r="326" spans="1:35">
      <c r="A326" s="55" t="s">
        <v>491</v>
      </c>
      <c r="B326" s="91">
        <v>0</v>
      </c>
      <c r="C326" s="91">
        <v>0</v>
      </c>
      <c r="D326" s="91">
        <v>0</v>
      </c>
      <c r="E326" s="90">
        <v>0</v>
      </c>
      <c r="F326" s="91">
        <v>0</v>
      </c>
      <c r="G326" s="91">
        <v>0</v>
      </c>
      <c r="H326" s="91">
        <v>0</v>
      </c>
      <c r="I326" s="91">
        <v>0</v>
      </c>
      <c r="J326" s="91">
        <v>0</v>
      </c>
      <c r="K326" s="91">
        <v>0</v>
      </c>
      <c r="L326" s="91">
        <v>0</v>
      </c>
      <c r="M326" s="91">
        <v>0</v>
      </c>
      <c r="N326" s="91">
        <v>0</v>
      </c>
      <c r="O326" s="91">
        <v>0</v>
      </c>
      <c r="P326" s="91">
        <v>0</v>
      </c>
      <c r="Q326" s="91">
        <v>0</v>
      </c>
      <c r="R326" s="91">
        <v>0</v>
      </c>
      <c r="S326" s="91">
        <v>0</v>
      </c>
      <c r="T326" s="91">
        <v>0</v>
      </c>
      <c r="U326" s="91">
        <v>0</v>
      </c>
      <c r="V326" s="202">
        <v>0</v>
      </c>
      <c r="W326" s="91">
        <v>0</v>
      </c>
      <c r="X326" s="91">
        <v>0</v>
      </c>
      <c r="Y326" s="91">
        <v>0</v>
      </c>
      <c r="Z326" s="91">
        <v>0</v>
      </c>
      <c r="AA326" s="91">
        <v>0</v>
      </c>
      <c r="AB326" s="91">
        <v>0</v>
      </c>
      <c r="AC326" s="91">
        <v>0</v>
      </c>
      <c r="AD326" s="91">
        <v>0</v>
      </c>
      <c r="AE326" s="91">
        <v>0</v>
      </c>
      <c r="AF326" s="91">
        <v>0</v>
      </c>
      <c r="AG326" s="91">
        <v>0</v>
      </c>
      <c r="AH326" s="84">
        <v>1</v>
      </c>
      <c r="AI326" s="97">
        <f t="shared" si="5"/>
        <v>0</v>
      </c>
    </row>
    <row r="327" spans="1:35">
      <c r="A327" s="55" t="s">
        <v>492</v>
      </c>
      <c r="B327" s="91">
        <v>0</v>
      </c>
      <c r="C327" s="91">
        <v>0</v>
      </c>
      <c r="D327" s="91">
        <v>0</v>
      </c>
      <c r="E327" s="90">
        <v>0</v>
      </c>
      <c r="F327" s="91">
        <v>0</v>
      </c>
      <c r="G327" s="91">
        <v>0</v>
      </c>
      <c r="H327" s="91">
        <v>0</v>
      </c>
      <c r="I327" s="91">
        <v>0</v>
      </c>
      <c r="J327" s="91">
        <v>0</v>
      </c>
      <c r="K327" s="91">
        <v>0</v>
      </c>
      <c r="L327" s="91">
        <v>0</v>
      </c>
      <c r="M327" s="91">
        <v>0</v>
      </c>
      <c r="N327" s="91">
        <v>0</v>
      </c>
      <c r="O327" s="91">
        <v>0</v>
      </c>
      <c r="P327" s="91">
        <v>0</v>
      </c>
      <c r="Q327" s="91">
        <v>0</v>
      </c>
      <c r="R327" s="91">
        <v>0</v>
      </c>
      <c r="S327" s="91">
        <v>0</v>
      </c>
      <c r="T327" s="91">
        <v>0</v>
      </c>
      <c r="U327" s="91">
        <v>0</v>
      </c>
      <c r="V327" s="202">
        <v>0</v>
      </c>
      <c r="W327" s="91">
        <v>0</v>
      </c>
      <c r="X327" s="91">
        <v>0</v>
      </c>
      <c r="Y327" s="91">
        <v>0</v>
      </c>
      <c r="Z327" s="91">
        <v>0</v>
      </c>
      <c r="AA327" s="91">
        <v>0</v>
      </c>
      <c r="AB327" s="91">
        <v>0</v>
      </c>
      <c r="AC327" s="91">
        <v>0</v>
      </c>
      <c r="AD327" s="91">
        <v>0</v>
      </c>
      <c r="AE327" s="91">
        <v>0</v>
      </c>
      <c r="AF327" s="91">
        <v>0</v>
      </c>
      <c r="AG327" s="91">
        <v>0</v>
      </c>
      <c r="AH327" s="84">
        <v>1</v>
      </c>
      <c r="AI327" s="97">
        <f t="shared" si="5"/>
        <v>0</v>
      </c>
    </row>
    <row r="328" spans="1:35">
      <c r="A328" s="55" t="s">
        <v>493</v>
      </c>
      <c r="B328" s="91">
        <v>0</v>
      </c>
      <c r="C328" s="91">
        <v>0</v>
      </c>
      <c r="D328" s="91">
        <v>0</v>
      </c>
      <c r="E328" s="90">
        <v>0</v>
      </c>
      <c r="F328" s="91">
        <v>0</v>
      </c>
      <c r="G328" s="91">
        <v>0</v>
      </c>
      <c r="H328" s="91">
        <v>0</v>
      </c>
      <c r="I328" s="91">
        <v>0</v>
      </c>
      <c r="J328" s="91">
        <v>0</v>
      </c>
      <c r="K328" s="91">
        <v>0</v>
      </c>
      <c r="L328" s="91">
        <v>0</v>
      </c>
      <c r="M328" s="91">
        <v>0</v>
      </c>
      <c r="N328" s="91">
        <v>0</v>
      </c>
      <c r="O328" s="91">
        <v>0</v>
      </c>
      <c r="P328" s="91">
        <v>0</v>
      </c>
      <c r="Q328" s="91">
        <v>0</v>
      </c>
      <c r="R328" s="91">
        <v>0</v>
      </c>
      <c r="S328" s="91">
        <v>0</v>
      </c>
      <c r="T328" s="91">
        <v>0</v>
      </c>
      <c r="U328" s="91">
        <v>0</v>
      </c>
      <c r="V328" s="202">
        <v>0</v>
      </c>
      <c r="W328" s="91">
        <v>0</v>
      </c>
      <c r="X328" s="91">
        <v>0</v>
      </c>
      <c r="Y328" s="91">
        <v>0</v>
      </c>
      <c r="Z328" s="91">
        <v>0</v>
      </c>
      <c r="AA328" s="91">
        <v>0</v>
      </c>
      <c r="AB328" s="91">
        <v>0</v>
      </c>
      <c r="AC328" s="91">
        <v>0</v>
      </c>
      <c r="AD328" s="91">
        <v>0</v>
      </c>
      <c r="AE328" s="91">
        <v>0</v>
      </c>
      <c r="AF328" s="91">
        <v>0</v>
      </c>
      <c r="AG328" s="91">
        <v>0</v>
      </c>
      <c r="AH328" s="84">
        <v>1</v>
      </c>
      <c r="AI328" s="97">
        <f t="shared" si="5"/>
        <v>0</v>
      </c>
    </row>
    <row r="329" spans="1:35">
      <c r="A329" s="55" t="s">
        <v>494</v>
      </c>
      <c r="B329" s="91">
        <v>0</v>
      </c>
      <c r="C329" s="91">
        <v>0</v>
      </c>
      <c r="D329" s="91">
        <v>4</v>
      </c>
      <c r="E329" s="90">
        <v>4</v>
      </c>
      <c r="F329" s="91">
        <v>9852</v>
      </c>
      <c r="G329" s="91">
        <v>8937</v>
      </c>
      <c r="H329" s="91">
        <v>1135</v>
      </c>
      <c r="I329" s="91">
        <v>33.600000000000037</v>
      </c>
      <c r="J329" s="91">
        <v>-220</v>
      </c>
      <c r="K329" s="91">
        <v>10250</v>
      </c>
      <c r="L329" s="91">
        <v>9451</v>
      </c>
      <c r="M329" s="91">
        <v>9061</v>
      </c>
      <c r="N329" s="91">
        <v>10723</v>
      </c>
      <c r="O329" s="91">
        <v>881</v>
      </c>
      <c r="P329" s="91">
        <v>287</v>
      </c>
      <c r="Q329" s="91">
        <v>0</v>
      </c>
      <c r="R329" s="91">
        <v>0</v>
      </c>
      <c r="S329" s="91">
        <v>-253</v>
      </c>
      <c r="T329" s="91">
        <v>0</v>
      </c>
      <c r="U329" s="91">
        <v>0</v>
      </c>
      <c r="V329" s="202">
        <v>0</v>
      </c>
      <c r="W329" s="91">
        <v>-33</v>
      </c>
      <c r="X329" s="91">
        <v>0</v>
      </c>
      <c r="Y329" s="91">
        <v>220</v>
      </c>
      <c r="Z329" s="91">
        <v>0</v>
      </c>
      <c r="AA329" s="91">
        <v>0</v>
      </c>
      <c r="AB329" s="91">
        <v>-33</v>
      </c>
      <c r="AC329" s="91">
        <v>-33</v>
      </c>
      <c r="AD329" s="91">
        <v>-33</v>
      </c>
      <c r="AE329" s="91">
        <v>-33</v>
      </c>
      <c r="AF329" s="91">
        <v>-33</v>
      </c>
      <c r="AG329" s="91">
        <v>-55</v>
      </c>
      <c r="AH329" s="84">
        <v>7.7</v>
      </c>
      <c r="AI329" s="97">
        <f t="shared" si="5"/>
        <v>915</v>
      </c>
    </row>
    <row r="330" spans="1:35">
      <c r="A330" s="55" t="s">
        <v>495</v>
      </c>
      <c r="B330" s="91">
        <v>0</v>
      </c>
      <c r="C330" s="91">
        <v>0</v>
      </c>
      <c r="D330" s="91">
        <v>0</v>
      </c>
      <c r="E330" s="90">
        <v>0</v>
      </c>
      <c r="F330" s="91">
        <v>0</v>
      </c>
      <c r="G330" s="91">
        <v>0</v>
      </c>
      <c r="H330" s="91">
        <v>0</v>
      </c>
      <c r="I330" s="91">
        <v>0</v>
      </c>
      <c r="J330" s="91">
        <v>0</v>
      </c>
      <c r="K330" s="91">
        <v>0</v>
      </c>
      <c r="L330" s="91">
        <v>0</v>
      </c>
      <c r="M330" s="91">
        <v>0</v>
      </c>
      <c r="N330" s="91">
        <v>0</v>
      </c>
      <c r="O330" s="91">
        <v>0</v>
      </c>
      <c r="P330" s="91">
        <v>0</v>
      </c>
      <c r="Q330" s="91">
        <v>0</v>
      </c>
      <c r="R330" s="91">
        <v>0</v>
      </c>
      <c r="S330" s="91">
        <v>0</v>
      </c>
      <c r="T330" s="91">
        <v>0</v>
      </c>
      <c r="U330" s="91">
        <v>0</v>
      </c>
      <c r="V330" s="202">
        <v>0</v>
      </c>
      <c r="W330" s="91">
        <v>0</v>
      </c>
      <c r="X330" s="91">
        <v>0</v>
      </c>
      <c r="Y330" s="91">
        <v>0</v>
      </c>
      <c r="Z330" s="91">
        <v>0</v>
      </c>
      <c r="AA330" s="91">
        <v>0</v>
      </c>
      <c r="AB330" s="91">
        <v>0</v>
      </c>
      <c r="AC330" s="91">
        <v>0</v>
      </c>
      <c r="AD330" s="91">
        <v>0</v>
      </c>
      <c r="AE330" s="91">
        <v>0</v>
      </c>
      <c r="AF330" s="91">
        <v>0</v>
      </c>
      <c r="AG330" s="91">
        <v>0</v>
      </c>
      <c r="AH330" s="84">
        <v>1</v>
      </c>
      <c r="AI330" s="97">
        <f t="shared" si="5"/>
        <v>0</v>
      </c>
    </row>
    <row r="331" spans="1:35">
      <c r="A331" s="55" t="s">
        <v>496</v>
      </c>
      <c r="B331" s="91">
        <v>0</v>
      </c>
      <c r="C331" s="91">
        <v>0</v>
      </c>
      <c r="D331" s="91">
        <v>0</v>
      </c>
      <c r="E331" s="90">
        <v>0</v>
      </c>
      <c r="F331" s="91">
        <v>0</v>
      </c>
      <c r="G331" s="91">
        <v>0</v>
      </c>
      <c r="H331" s="91">
        <v>0</v>
      </c>
      <c r="I331" s="91">
        <v>0</v>
      </c>
      <c r="J331" s="91">
        <v>0</v>
      </c>
      <c r="K331" s="91">
        <v>0</v>
      </c>
      <c r="L331" s="91">
        <v>0</v>
      </c>
      <c r="M331" s="91">
        <v>0</v>
      </c>
      <c r="N331" s="91">
        <v>0</v>
      </c>
      <c r="O331" s="91">
        <v>0</v>
      </c>
      <c r="P331" s="91">
        <v>0</v>
      </c>
      <c r="Q331" s="91">
        <v>0</v>
      </c>
      <c r="R331" s="91">
        <v>0</v>
      </c>
      <c r="S331" s="91">
        <v>0</v>
      </c>
      <c r="T331" s="91">
        <v>0</v>
      </c>
      <c r="U331" s="91">
        <v>0</v>
      </c>
      <c r="V331" s="202">
        <v>0</v>
      </c>
      <c r="W331" s="91">
        <v>0</v>
      </c>
      <c r="X331" s="91">
        <v>0</v>
      </c>
      <c r="Y331" s="91">
        <v>0</v>
      </c>
      <c r="Z331" s="91">
        <v>0</v>
      </c>
      <c r="AA331" s="91">
        <v>0</v>
      </c>
      <c r="AB331" s="91">
        <v>0</v>
      </c>
      <c r="AC331" s="91">
        <v>0</v>
      </c>
      <c r="AD331" s="91">
        <v>0</v>
      </c>
      <c r="AE331" s="91">
        <v>0</v>
      </c>
      <c r="AF331" s="91">
        <v>0</v>
      </c>
      <c r="AG331" s="91">
        <v>0</v>
      </c>
      <c r="AH331" s="84">
        <v>1</v>
      </c>
      <c r="AI331" s="97">
        <f t="shared" si="5"/>
        <v>0</v>
      </c>
    </row>
    <row r="332" spans="1:35">
      <c r="A332" s="55" t="s">
        <v>497</v>
      </c>
      <c r="B332" s="91">
        <v>0</v>
      </c>
      <c r="C332" s="91">
        <v>0</v>
      </c>
      <c r="D332" s="91">
        <v>0</v>
      </c>
      <c r="E332" s="90">
        <v>0</v>
      </c>
      <c r="F332" s="91">
        <v>0</v>
      </c>
      <c r="G332" s="91">
        <v>0</v>
      </c>
      <c r="H332" s="91">
        <v>0</v>
      </c>
      <c r="I332" s="91">
        <v>0</v>
      </c>
      <c r="J332" s="91">
        <v>0</v>
      </c>
      <c r="K332" s="91">
        <v>0</v>
      </c>
      <c r="L332" s="91">
        <v>0</v>
      </c>
      <c r="M332" s="91">
        <v>0</v>
      </c>
      <c r="N332" s="91">
        <v>0</v>
      </c>
      <c r="O332" s="91">
        <v>0</v>
      </c>
      <c r="P332" s="91">
        <v>0</v>
      </c>
      <c r="Q332" s="91">
        <v>0</v>
      </c>
      <c r="R332" s="91">
        <v>0</v>
      </c>
      <c r="S332" s="91">
        <v>0</v>
      </c>
      <c r="T332" s="91">
        <v>0</v>
      </c>
      <c r="U332" s="91">
        <v>0</v>
      </c>
      <c r="V332" s="202">
        <v>0</v>
      </c>
      <c r="W332" s="91">
        <v>0</v>
      </c>
      <c r="X332" s="91">
        <v>0</v>
      </c>
      <c r="Y332" s="91">
        <v>0</v>
      </c>
      <c r="Z332" s="91">
        <v>0</v>
      </c>
      <c r="AA332" s="91">
        <v>0</v>
      </c>
      <c r="AB332" s="91">
        <v>0</v>
      </c>
      <c r="AC332" s="91">
        <v>0</v>
      </c>
      <c r="AD332" s="91">
        <v>0</v>
      </c>
      <c r="AE332" s="91">
        <v>0</v>
      </c>
      <c r="AF332" s="91">
        <v>0</v>
      </c>
      <c r="AG332" s="91">
        <v>0</v>
      </c>
      <c r="AH332" s="84">
        <v>1</v>
      </c>
      <c r="AI332" s="97">
        <f t="shared" si="5"/>
        <v>0</v>
      </c>
    </row>
    <row r="333" spans="1:35">
      <c r="A333" s="55" t="s">
        <v>498</v>
      </c>
      <c r="B333" s="91">
        <v>0</v>
      </c>
      <c r="C333" s="91">
        <v>0</v>
      </c>
      <c r="D333" s="91">
        <v>0</v>
      </c>
      <c r="E333" s="90">
        <v>0</v>
      </c>
      <c r="F333" s="91">
        <v>0</v>
      </c>
      <c r="G333" s="91">
        <v>0</v>
      </c>
      <c r="H333" s="91">
        <v>0</v>
      </c>
      <c r="I333" s="91">
        <v>0</v>
      </c>
      <c r="J333" s="91">
        <v>0</v>
      </c>
      <c r="K333" s="91">
        <v>0</v>
      </c>
      <c r="L333" s="91">
        <v>0</v>
      </c>
      <c r="M333" s="91">
        <v>0</v>
      </c>
      <c r="N333" s="91">
        <v>0</v>
      </c>
      <c r="O333" s="91">
        <v>0</v>
      </c>
      <c r="P333" s="91">
        <v>0</v>
      </c>
      <c r="Q333" s="91">
        <v>0</v>
      </c>
      <c r="R333" s="91">
        <v>0</v>
      </c>
      <c r="S333" s="91">
        <v>0</v>
      </c>
      <c r="T333" s="91">
        <v>0</v>
      </c>
      <c r="U333" s="91">
        <v>0</v>
      </c>
      <c r="V333" s="202">
        <v>0</v>
      </c>
      <c r="W333" s="91">
        <v>0</v>
      </c>
      <c r="X333" s="91">
        <v>0</v>
      </c>
      <c r="Y333" s="91">
        <v>0</v>
      </c>
      <c r="Z333" s="91">
        <v>0</v>
      </c>
      <c r="AA333" s="91">
        <v>0</v>
      </c>
      <c r="AB333" s="91">
        <v>0</v>
      </c>
      <c r="AC333" s="91">
        <v>0</v>
      </c>
      <c r="AD333" s="91">
        <v>0</v>
      </c>
      <c r="AE333" s="91">
        <v>0</v>
      </c>
      <c r="AF333" s="91">
        <v>0</v>
      </c>
      <c r="AG333" s="91">
        <v>0</v>
      </c>
      <c r="AH333" s="84">
        <v>1</v>
      </c>
      <c r="AI333" s="97">
        <f t="shared" si="5"/>
        <v>0</v>
      </c>
    </row>
    <row r="334" spans="1:35" ht="22.5">
      <c r="A334" s="55" t="s">
        <v>499</v>
      </c>
      <c r="B334" s="91">
        <v>9</v>
      </c>
      <c r="C334" s="91">
        <v>0</v>
      </c>
      <c r="D334" s="91">
        <v>86</v>
      </c>
      <c r="E334" s="90">
        <v>88</v>
      </c>
      <c r="F334" s="91">
        <v>1871694</v>
      </c>
      <c r="G334" s="91">
        <v>1800128</v>
      </c>
      <c r="H334" s="91">
        <v>189227</v>
      </c>
      <c r="I334" s="91">
        <v>49683.899999999994</v>
      </c>
      <c r="J334" s="91">
        <v>-77683</v>
      </c>
      <c r="K334" s="91">
        <v>2009307</v>
      </c>
      <c r="L334" s="91">
        <v>1741551</v>
      </c>
      <c r="M334" s="91">
        <v>1668888</v>
      </c>
      <c r="N334" s="91">
        <v>2110135</v>
      </c>
      <c r="O334" s="91">
        <v>142557</v>
      </c>
      <c r="P334" s="91">
        <v>56143</v>
      </c>
      <c r="Q334" s="91">
        <v>0</v>
      </c>
      <c r="R334" s="91">
        <v>0</v>
      </c>
      <c r="S334" s="91">
        <v>-87156</v>
      </c>
      <c r="T334" s="91">
        <v>39978</v>
      </c>
      <c r="U334" s="91">
        <v>0</v>
      </c>
      <c r="V334" s="202">
        <v>0</v>
      </c>
      <c r="W334" s="91">
        <v>-9473</v>
      </c>
      <c r="X334" s="91">
        <v>0</v>
      </c>
      <c r="Y334" s="91">
        <v>77683</v>
      </c>
      <c r="Z334" s="91">
        <v>0</v>
      </c>
      <c r="AA334" s="91">
        <v>0</v>
      </c>
      <c r="AB334" s="91">
        <v>-9473</v>
      </c>
      <c r="AC334" s="91">
        <v>-9473</v>
      </c>
      <c r="AD334" s="91">
        <v>-9473</v>
      </c>
      <c r="AE334" s="91">
        <v>-9473</v>
      </c>
      <c r="AF334" s="91">
        <v>-9473</v>
      </c>
      <c r="AG334" s="91">
        <v>-30318</v>
      </c>
      <c r="AH334" s="84">
        <v>9.1999999999999993</v>
      </c>
      <c r="AI334" s="97">
        <f t="shared" si="5"/>
        <v>71566</v>
      </c>
    </row>
    <row r="335" spans="1:35" ht="22.5">
      <c r="A335" s="55" t="s">
        <v>500</v>
      </c>
      <c r="B335" s="91">
        <v>0</v>
      </c>
      <c r="C335" s="91">
        <v>0</v>
      </c>
      <c r="D335" s="91">
        <v>7</v>
      </c>
      <c r="E335" s="90">
        <v>7</v>
      </c>
      <c r="F335" s="91">
        <v>7734</v>
      </c>
      <c r="G335" s="91">
        <v>7624</v>
      </c>
      <c r="H335" s="91">
        <v>708</v>
      </c>
      <c r="I335" s="91">
        <v>0</v>
      </c>
      <c r="J335" s="91">
        <v>-598</v>
      </c>
      <c r="K335" s="91">
        <v>8779</v>
      </c>
      <c r="L335" s="91">
        <v>6751</v>
      </c>
      <c r="M335" s="91">
        <v>6282</v>
      </c>
      <c r="N335" s="91">
        <v>9496</v>
      </c>
      <c r="O335" s="91">
        <v>519</v>
      </c>
      <c r="P335" s="91">
        <v>238</v>
      </c>
      <c r="Q335" s="91">
        <v>0</v>
      </c>
      <c r="R335" s="91">
        <v>0</v>
      </c>
      <c r="S335" s="91">
        <v>-647</v>
      </c>
      <c r="T335" s="91">
        <v>0</v>
      </c>
      <c r="U335" s="91">
        <v>0</v>
      </c>
      <c r="V335" s="202">
        <v>0</v>
      </c>
      <c r="W335" s="91">
        <v>-49</v>
      </c>
      <c r="X335" s="91">
        <v>0</v>
      </c>
      <c r="Y335" s="91">
        <v>598</v>
      </c>
      <c r="Z335" s="91">
        <v>0</v>
      </c>
      <c r="AA335" s="91">
        <v>0</v>
      </c>
      <c r="AB335" s="91">
        <v>-49</v>
      </c>
      <c r="AC335" s="91">
        <v>-49</v>
      </c>
      <c r="AD335" s="91">
        <v>-49</v>
      </c>
      <c r="AE335" s="91">
        <v>-49</v>
      </c>
      <c r="AF335" s="91">
        <v>-49</v>
      </c>
      <c r="AG335" s="91">
        <v>-353</v>
      </c>
      <c r="AH335" s="84">
        <v>13.3</v>
      </c>
      <c r="AI335" s="97">
        <f t="shared" si="5"/>
        <v>110</v>
      </c>
    </row>
    <row r="336" spans="1:35">
      <c r="A336" s="55" t="s">
        <v>501</v>
      </c>
      <c r="B336" s="91">
        <v>0</v>
      </c>
      <c r="C336" s="91">
        <v>0</v>
      </c>
      <c r="D336" s="91">
        <v>0</v>
      </c>
      <c r="E336" s="90">
        <v>0</v>
      </c>
      <c r="F336" s="91">
        <v>0</v>
      </c>
      <c r="G336" s="91">
        <v>0</v>
      </c>
      <c r="H336" s="91">
        <v>0</v>
      </c>
      <c r="I336" s="91">
        <v>0</v>
      </c>
      <c r="J336" s="91">
        <v>0</v>
      </c>
      <c r="K336" s="91">
        <v>0</v>
      </c>
      <c r="L336" s="91">
        <v>0</v>
      </c>
      <c r="M336" s="91">
        <v>0</v>
      </c>
      <c r="N336" s="91">
        <v>0</v>
      </c>
      <c r="O336" s="91">
        <v>0</v>
      </c>
      <c r="P336" s="91">
        <v>0</v>
      </c>
      <c r="Q336" s="91">
        <v>0</v>
      </c>
      <c r="R336" s="91">
        <v>0</v>
      </c>
      <c r="S336" s="91">
        <v>0</v>
      </c>
      <c r="T336" s="91">
        <v>0</v>
      </c>
      <c r="U336" s="91">
        <v>0</v>
      </c>
      <c r="V336" s="202">
        <v>0</v>
      </c>
      <c r="W336" s="91">
        <v>0</v>
      </c>
      <c r="X336" s="91">
        <v>0</v>
      </c>
      <c r="Y336" s="91">
        <v>0</v>
      </c>
      <c r="Z336" s="91">
        <v>0</v>
      </c>
      <c r="AA336" s="91">
        <v>0</v>
      </c>
      <c r="AB336" s="91">
        <v>0</v>
      </c>
      <c r="AC336" s="91">
        <v>0</v>
      </c>
      <c r="AD336" s="91">
        <v>0</v>
      </c>
      <c r="AE336" s="91">
        <v>0</v>
      </c>
      <c r="AF336" s="91">
        <v>0</v>
      </c>
      <c r="AG336" s="91">
        <v>0</v>
      </c>
      <c r="AH336" s="84">
        <v>1</v>
      </c>
      <c r="AI336" s="97">
        <f t="shared" si="5"/>
        <v>0</v>
      </c>
    </row>
    <row r="337" spans="1:35">
      <c r="A337" s="55" t="s">
        <v>502</v>
      </c>
      <c r="B337" s="91">
        <v>0</v>
      </c>
      <c r="C337" s="91">
        <v>0</v>
      </c>
      <c r="D337" s="91">
        <v>1</v>
      </c>
      <c r="E337" s="90">
        <v>1</v>
      </c>
      <c r="F337" s="91">
        <v>0</v>
      </c>
      <c r="G337" s="91">
        <v>0</v>
      </c>
      <c r="H337" s="91">
        <v>0</v>
      </c>
      <c r="I337" s="91">
        <v>0</v>
      </c>
      <c r="J337" s="91">
        <v>0</v>
      </c>
      <c r="K337" s="91">
        <v>0</v>
      </c>
      <c r="L337" s="91">
        <v>0</v>
      </c>
      <c r="M337" s="91">
        <v>0</v>
      </c>
      <c r="N337" s="91">
        <v>0</v>
      </c>
      <c r="O337" s="91">
        <v>0</v>
      </c>
      <c r="P337" s="91">
        <v>0</v>
      </c>
      <c r="Q337" s="91">
        <v>0</v>
      </c>
      <c r="R337" s="91">
        <v>0</v>
      </c>
      <c r="S337" s="91">
        <v>0</v>
      </c>
      <c r="T337" s="91">
        <v>0</v>
      </c>
      <c r="U337" s="91">
        <v>0</v>
      </c>
      <c r="V337" s="202">
        <v>0</v>
      </c>
      <c r="W337" s="91">
        <v>0</v>
      </c>
      <c r="X337" s="91">
        <v>0</v>
      </c>
      <c r="Y337" s="91">
        <v>0</v>
      </c>
      <c r="Z337" s="91">
        <v>0</v>
      </c>
      <c r="AA337" s="91">
        <v>0</v>
      </c>
      <c r="AB337" s="91">
        <v>0</v>
      </c>
      <c r="AC337" s="91">
        <v>0</v>
      </c>
      <c r="AD337" s="91">
        <v>0</v>
      </c>
      <c r="AE337" s="91">
        <v>0</v>
      </c>
      <c r="AF337" s="91">
        <v>0</v>
      </c>
      <c r="AG337" s="91">
        <v>0</v>
      </c>
      <c r="AH337" s="84">
        <v>3.2</v>
      </c>
      <c r="AI337" s="97">
        <f t="shared" si="5"/>
        <v>0</v>
      </c>
    </row>
    <row r="338" spans="1:35">
      <c r="A338" s="55" t="s">
        <v>503</v>
      </c>
      <c r="B338" s="91">
        <v>0</v>
      </c>
      <c r="C338" s="91">
        <v>0</v>
      </c>
      <c r="D338" s="91">
        <v>7</v>
      </c>
      <c r="E338" s="90">
        <v>7</v>
      </c>
      <c r="F338" s="91">
        <v>9151</v>
      </c>
      <c r="G338" s="91">
        <v>8023</v>
      </c>
      <c r="H338" s="91">
        <v>1380</v>
      </c>
      <c r="I338" s="91">
        <v>152.41999999999993</v>
      </c>
      <c r="J338" s="91">
        <v>-252</v>
      </c>
      <c r="K338" s="91">
        <v>9614</v>
      </c>
      <c r="L338" s="91">
        <v>8691</v>
      </c>
      <c r="M338" s="91">
        <v>8356</v>
      </c>
      <c r="N338" s="91">
        <v>10009</v>
      </c>
      <c r="O338" s="91">
        <v>1158</v>
      </c>
      <c r="P338" s="91">
        <v>268</v>
      </c>
      <c r="Q338" s="91">
        <v>0</v>
      </c>
      <c r="R338" s="91">
        <v>0</v>
      </c>
      <c r="S338" s="91">
        <v>-298</v>
      </c>
      <c r="T338" s="91">
        <v>0</v>
      </c>
      <c r="U338" s="91">
        <v>0</v>
      </c>
      <c r="V338" s="202">
        <v>0</v>
      </c>
      <c r="W338" s="91">
        <v>-46</v>
      </c>
      <c r="X338" s="91">
        <v>0</v>
      </c>
      <c r="Y338" s="91">
        <v>252</v>
      </c>
      <c r="Z338" s="91">
        <v>0</v>
      </c>
      <c r="AA338" s="91">
        <v>0</v>
      </c>
      <c r="AB338" s="91">
        <v>-46</v>
      </c>
      <c r="AC338" s="91">
        <v>-46</v>
      </c>
      <c r="AD338" s="91">
        <v>-46</v>
      </c>
      <c r="AE338" s="91">
        <v>-46</v>
      </c>
      <c r="AF338" s="91">
        <v>-46</v>
      </c>
      <c r="AG338" s="91">
        <v>-22</v>
      </c>
      <c r="AH338" s="84">
        <v>6.5</v>
      </c>
      <c r="AI338" s="97">
        <f t="shared" si="5"/>
        <v>1128</v>
      </c>
    </row>
    <row r="339" spans="1:35">
      <c r="A339" s="55" t="s">
        <v>504</v>
      </c>
      <c r="B339" s="91">
        <v>0</v>
      </c>
      <c r="C339" s="91">
        <v>0</v>
      </c>
      <c r="D339" s="91">
        <v>91</v>
      </c>
      <c r="E339" s="90">
        <v>92</v>
      </c>
      <c r="F339" s="91">
        <v>102595</v>
      </c>
      <c r="G339" s="91">
        <v>90365</v>
      </c>
      <c r="H339" s="91">
        <v>17373</v>
      </c>
      <c r="I339" s="91">
        <v>739.89000000000055</v>
      </c>
      <c r="J339" s="91">
        <v>-5143</v>
      </c>
      <c r="K339" s="91">
        <v>111617</v>
      </c>
      <c r="L339" s="91">
        <v>94184</v>
      </c>
      <c r="M339" s="91">
        <v>89147</v>
      </c>
      <c r="N339" s="91">
        <v>118903</v>
      </c>
      <c r="O339" s="91">
        <v>14878</v>
      </c>
      <c r="P339" s="91">
        <v>3073</v>
      </c>
      <c r="Q339" s="91">
        <v>0</v>
      </c>
      <c r="R339" s="91">
        <v>0</v>
      </c>
      <c r="S339" s="91">
        <v>-5721</v>
      </c>
      <c r="T339" s="91">
        <v>0</v>
      </c>
      <c r="U339" s="91">
        <v>0</v>
      </c>
      <c r="V339" s="202">
        <v>0</v>
      </c>
      <c r="W339" s="91">
        <v>-578</v>
      </c>
      <c r="X339" s="91">
        <v>0</v>
      </c>
      <c r="Y339" s="91">
        <v>5143</v>
      </c>
      <c r="Z339" s="91">
        <v>0</v>
      </c>
      <c r="AA339" s="91">
        <v>0</v>
      </c>
      <c r="AB339" s="91">
        <v>-578</v>
      </c>
      <c r="AC339" s="91">
        <v>-578</v>
      </c>
      <c r="AD339" s="91">
        <v>-578</v>
      </c>
      <c r="AE339" s="91">
        <v>-578</v>
      </c>
      <c r="AF339" s="91">
        <v>-578</v>
      </c>
      <c r="AG339" s="91">
        <v>-2253</v>
      </c>
      <c r="AH339" s="84">
        <v>9.9</v>
      </c>
      <c r="AI339" s="97">
        <f t="shared" si="5"/>
        <v>12230</v>
      </c>
    </row>
    <row r="340" spans="1:35">
      <c r="A340" s="55" t="s">
        <v>505</v>
      </c>
      <c r="B340" s="91">
        <v>0</v>
      </c>
      <c r="C340" s="91">
        <v>0</v>
      </c>
      <c r="D340" s="91">
        <v>14</v>
      </c>
      <c r="E340" s="90">
        <v>14</v>
      </c>
      <c r="F340" s="91">
        <v>22936</v>
      </c>
      <c r="G340" s="91">
        <v>19858</v>
      </c>
      <c r="H340" s="91">
        <v>4362</v>
      </c>
      <c r="I340" s="91">
        <v>0</v>
      </c>
      <c r="J340" s="91">
        <v>-1284</v>
      </c>
      <c r="K340" s="91">
        <v>25218</v>
      </c>
      <c r="L340" s="91">
        <v>20785</v>
      </c>
      <c r="M340" s="91">
        <v>19662</v>
      </c>
      <c r="N340" s="91">
        <v>26770</v>
      </c>
      <c r="O340" s="91">
        <v>3817</v>
      </c>
      <c r="P340" s="91">
        <v>691</v>
      </c>
      <c r="Q340" s="91">
        <v>0</v>
      </c>
      <c r="R340" s="91">
        <v>0</v>
      </c>
      <c r="S340" s="91">
        <v>-1430</v>
      </c>
      <c r="T340" s="91">
        <v>0</v>
      </c>
      <c r="U340" s="91">
        <v>0</v>
      </c>
      <c r="V340" s="202">
        <v>0</v>
      </c>
      <c r="W340" s="91">
        <v>-146</v>
      </c>
      <c r="X340" s="91">
        <v>0</v>
      </c>
      <c r="Y340" s="91">
        <v>1284</v>
      </c>
      <c r="Z340" s="91">
        <v>0</v>
      </c>
      <c r="AA340" s="91">
        <v>0</v>
      </c>
      <c r="AB340" s="91">
        <v>-146</v>
      </c>
      <c r="AC340" s="91">
        <v>-146</v>
      </c>
      <c r="AD340" s="91">
        <v>-146</v>
      </c>
      <c r="AE340" s="91">
        <v>-146</v>
      </c>
      <c r="AF340" s="91">
        <v>-146</v>
      </c>
      <c r="AG340" s="91">
        <v>-554</v>
      </c>
      <c r="AH340" s="84">
        <v>9.8000000000000007</v>
      </c>
      <c r="AI340" s="97">
        <f t="shared" si="5"/>
        <v>3078</v>
      </c>
    </row>
    <row r="341" spans="1:35">
      <c r="A341" s="55" t="s">
        <v>506</v>
      </c>
      <c r="B341" s="91">
        <v>0</v>
      </c>
      <c r="C341" s="91">
        <v>0</v>
      </c>
      <c r="D341" s="91">
        <v>0</v>
      </c>
      <c r="E341" s="90">
        <v>0</v>
      </c>
      <c r="F341" s="91">
        <v>0</v>
      </c>
      <c r="G341" s="91">
        <v>0</v>
      </c>
      <c r="H341" s="91">
        <v>0</v>
      </c>
      <c r="I341" s="91">
        <v>0</v>
      </c>
      <c r="J341" s="91">
        <v>0</v>
      </c>
      <c r="K341" s="91">
        <v>0</v>
      </c>
      <c r="L341" s="91">
        <v>0</v>
      </c>
      <c r="M341" s="91">
        <v>0</v>
      </c>
      <c r="N341" s="91">
        <v>0</v>
      </c>
      <c r="O341" s="91">
        <v>0</v>
      </c>
      <c r="P341" s="91">
        <v>0</v>
      </c>
      <c r="Q341" s="91">
        <v>0</v>
      </c>
      <c r="R341" s="91">
        <v>0</v>
      </c>
      <c r="S341" s="91">
        <v>0</v>
      </c>
      <c r="T341" s="91">
        <v>0</v>
      </c>
      <c r="U341" s="91">
        <v>0</v>
      </c>
      <c r="V341" s="202">
        <v>0</v>
      </c>
      <c r="W341" s="91">
        <v>0</v>
      </c>
      <c r="X341" s="91">
        <v>0</v>
      </c>
      <c r="Y341" s="91">
        <v>0</v>
      </c>
      <c r="Z341" s="91">
        <v>0</v>
      </c>
      <c r="AA341" s="91">
        <v>0</v>
      </c>
      <c r="AB341" s="91">
        <v>0</v>
      </c>
      <c r="AC341" s="91">
        <v>0</v>
      </c>
      <c r="AD341" s="91">
        <v>0</v>
      </c>
      <c r="AE341" s="91">
        <v>0</v>
      </c>
      <c r="AF341" s="91">
        <v>0</v>
      </c>
      <c r="AG341" s="91">
        <v>0</v>
      </c>
      <c r="AH341" s="84">
        <v>1</v>
      </c>
      <c r="AI341" s="97">
        <f t="shared" si="5"/>
        <v>0</v>
      </c>
    </row>
    <row r="342" spans="1:35">
      <c r="A342" s="55" t="s">
        <v>507</v>
      </c>
      <c r="B342" s="91">
        <v>0</v>
      </c>
      <c r="C342" s="91">
        <v>0</v>
      </c>
      <c r="D342" s="91">
        <v>17</v>
      </c>
      <c r="E342" s="90">
        <v>17</v>
      </c>
      <c r="F342" s="91">
        <v>4740</v>
      </c>
      <c r="G342" s="91">
        <v>2890</v>
      </c>
      <c r="H342" s="91">
        <v>2300</v>
      </c>
      <c r="I342" s="91">
        <v>131.22999999999996</v>
      </c>
      <c r="J342" s="91">
        <v>-450</v>
      </c>
      <c r="K342" s="91">
        <v>5578</v>
      </c>
      <c r="L342" s="91">
        <v>4035</v>
      </c>
      <c r="M342" s="91">
        <v>3601</v>
      </c>
      <c r="N342" s="91">
        <v>6237</v>
      </c>
      <c r="O342" s="91">
        <v>2212</v>
      </c>
      <c r="P342" s="91">
        <v>149</v>
      </c>
      <c r="Q342" s="91">
        <v>0</v>
      </c>
      <c r="R342" s="91">
        <v>0</v>
      </c>
      <c r="S342" s="91">
        <v>-511</v>
      </c>
      <c r="T342" s="91">
        <v>0</v>
      </c>
      <c r="U342" s="91">
        <v>0</v>
      </c>
      <c r="V342" s="202">
        <v>0</v>
      </c>
      <c r="W342" s="91">
        <v>-61</v>
      </c>
      <c r="X342" s="91">
        <v>0</v>
      </c>
      <c r="Y342" s="91">
        <v>450</v>
      </c>
      <c r="Z342" s="91">
        <v>0</v>
      </c>
      <c r="AA342" s="91">
        <v>0</v>
      </c>
      <c r="AB342" s="91">
        <v>-61</v>
      </c>
      <c r="AC342" s="91">
        <v>-61</v>
      </c>
      <c r="AD342" s="91">
        <v>-61</v>
      </c>
      <c r="AE342" s="91">
        <v>-61</v>
      </c>
      <c r="AF342" s="91">
        <v>-61</v>
      </c>
      <c r="AG342" s="91">
        <v>-145</v>
      </c>
      <c r="AH342" s="84">
        <v>8.4</v>
      </c>
      <c r="AI342" s="97">
        <f t="shared" si="5"/>
        <v>1850</v>
      </c>
    </row>
    <row r="343" spans="1:35" ht="22.5">
      <c r="A343" s="55" t="s">
        <v>508</v>
      </c>
      <c r="B343" s="91">
        <v>0</v>
      </c>
      <c r="C343" s="91">
        <v>0</v>
      </c>
      <c r="D343" s="91">
        <v>0</v>
      </c>
      <c r="E343" s="90">
        <v>0</v>
      </c>
      <c r="F343" s="91">
        <v>0</v>
      </c>
      <c r="G343" s="91">
        <v>0</v>
      </c>
      <c r="H343" s="91">
        <v>0</v>
      </c>
      <c r="I343" s="91">
        <v>0</v>
      </c>
      <c r="J343" s="91">
        <v>0</v>
      </c>
      <c r="K343" s="91">
        <v>0</v>
      </c>
      <c r="L343" s="91">
        <v>0</v>
      </c>
      <c r="M343" s="91">
        <v>0</v>
      </c>
      <c r="N343" s="91">
        <v>0</v>
      </c>
      <c r="O343" s="91">
        <v>0</v>
      </c>
      <c r="P343" s="91">
        <v>0</v>
      </c>
      <c r="Q343" s="91">
        <v>0</v>
      </c>
      <c r="R343" s="91">
        <v>0</v>
      </c>
      <c r="S343" s="91">
        <v>0</v>
      </c>
      <c r="T343" s="91">
        <v>0</v>
      </c>
      <c r="U343" s="91">
        <v>0</v>
      </c>
      <c r="V343" s="202">
        <v>0</v>
      </c>
      <c r="W343" s="91">
        <v>0</v>
      </c>
      <c r="X343" s="91">
        <v>0</v>
      </c>
      <c r="Y343" s="91">
        <v>0</v>
      </c>
      <c r="Z343" s="91">
        <v>0</v>
      </c>
      <c r="AA343" s="91">
        <v>0</v>
      </c>
      <c r="AB343" s="91">
        <v>0</v>
      </c>
      <c r="AC343" s="91">
        <v>0</v>
      </c>
      <c r="AD343" s="91">
        <v>0</v>
      </c>
      <c r="AE343" s="91">
        <v>0</v>
      </c>
      <c r="AF343" s="91">
        <v>0</v>
      </c>
      <c r="AG343" s="91">
        <v>0</v>
      </c>
      <c r="AH343" s="84">
        <v>1</v>
      </c>
      <c r="AI343" s="97">
        <f t="shared" si="5"/>
        <v>0</v>
      </c>
    </row>
    <row r="344" spans="1:35">
      <c r="A344" s="55" t="s">
        <v>509</v>
      </c>
      <c r="B344" s="91">
        <v>0</v>
      </c>
      <c r="C344" s="91">
        <v>0</v>
      </c>
      <c r="D344" s="91">
        <v>2</v>
      </c>
      <c r="E344" s="90">
        <v>7</v>
      </c>
      <c r="F344" s="91">
        <v>14747</v>
      </c>
      <c r="G344" s="91">
        <v>13974</v>
      </c>
      <c r="H344" s="91">
        <v>1072</v>
      </c>
      <c r="I344" s="91">
        <v>31.019999999999982</v>
      </c>
      <c r="J344" s="91">
        <v>-299</v>
      </c>
      <c r="K344" s="91">
        <v>15291</v>
      </c>
      <c r="L344" s="91">
        <v>14132</v>
      </c>
      <c r="M344" s="91">
        <v>13594</v>
      </c>
      <c r="N344" s="91">
        <v>16014</v>
      </c>
      <c r="O344" s="91">
        <v>709</v>
      </c>
      <c r="P344" s="91">
        <v>429</v>
      </c>
      <c r="Q344" s="91">
        <v>0</v>
      </c>
      <c r="R344" s="91">
        <v>0</v>
      </c>
      <c r="S344" s="91">
        <v>-365</v>
      </c>
      <c r="T344" s="91">
        <v>0</v>
      </c>
      <c r="U344" s="91">
        <v>0</v>
      </c>
      <c r="V344" s="202">
        <v>0</v>
      </c>
      <c r="W344" s="91">
        <v>-66</v>
      </c>
      <c r="X344" s="91">
        <v>0</v>
      </c>
      <c r="Y344" s="91">
        <v>299</v>
      </c>
      <c r="Z344" s="91">
        <v>0</v>
      </c>
      <c r="AA344" s="91">
        <v>0</v>
      </c>
      <c r="AB344" s="91">
        <v>-66</v>
      </c>
      <c r="AC344" s="91">
        <v>-66</v>
      </c>
      <c r="AD344" s="91">
        <v>-66</v>
      </c>
      <c r="AE344" s="91">
        <v>-66</v>
      </c>
      <c r="AF344" s="91">
        <v>-35</v>
      </c>
      <c r="AG344" s="91">
        <v>0</v>
      </c>
      <c r="AH344" s="84">
        <v>5.5</v>
      </c>
      <c r="AI344" s="97">
        <f t="shared" si="5"/>
        <v>773</v>
      </c>
    </row>
    <row r="345" spans="1:35">
      <c r="A345" s="55" t="s">
        <v>510</v>
      </c>
      <c r="B345" s="91">
        <v>0</v>
      </c>
      <c r="C345" s="91">
        <v>0</v>
      </c>
      <c r="D345" s="91">
        <v>0</v>
      </c>
      <c r="E345" s="90">
        <v>0</v>
      </c>
      <c r="F345" s="91">
        <v>0</v>
      </c>
      <c r="G345" s="91">
        <v>0</v>
      </c>
      <c r="H345" s="91">
        <v>0</v>
      </c>
      <c r="I345" s="91">
        <v>0</v>
      </c>
      <c r="J345" s="91">
        <v>0</v>
      </c>
      <c r="K345" s="91">
        <v>0</v>
      </c>
      <c r="L345" s="91">
        <v>0</v>
      </c>
      <c r="M345" s="91">
        <v>0</v>
      </c>
      <c r="N345" s="91">
        <v>0</v>
      </c>
      <c r="O345" s="91">
        <v>0</v>
      </c>
      <c r="P345" s="91">
        <v>0</v>
      </c>
      <c r="Q345" s="91">
        <v>0</v>
      </c>
      <c r="R345" s="91">
        <v>0</v>
      </c>
      <c r="S345" s="91">
        <v>0</v>
      </c>
      <c r="T345" s="91">
        <v>0</v>
      </c>
      <c r="U345" s="91">
        <v>0</v>
      </c>
      <c r="V345" s="202">
        <v>0</v>
      </c>
      <c r="W345" s="91">
        <v>0</v>
      </c>
      <c r="X345" s="91">
        <v>0</v>
      </c>
      <c r="Y345" s="91">
        <v>0</v>
      </c>
      <c r="Z345" s="91">
        <v>0</v>
      </c>
      <c r="AA345" s="91">
        <v>0</v>
      </c>
      <c r="AB345" s="91">
        <v>0</v>
      </c>
      <c r="AC345" s="91">
        <v>0</v>
      </c>
      <c r="AD345" s="91">
        <v>0</v>
      </c>
      <c r="AE345" s="91">
        <v>0</v>
      </c>
      <c r="AF345" s="91">
        <v>0</v>
      </c>
      <c r="AG345" s="91">
        <v>0</v>
      </c>
      <c r="AH345" s="84">
        <v>1</v>
      </c>
      <c r="AI345" s="97">
        <f t="shared" si="5"/>
        <v>0</v>
      </c>
    </row>
    <row r="346" spans="1:35">
      <c r="A346" s="55" t="s">
        <v>511</v>
      </c>
      <c r="B346" s="91">
        <v>0</v>
      </c>
      <c r="C346" s="91">
        <v>0</v>
      </c>
      <c r="D346" s="91">
        <v>66</v>
      </c>
      <c r="E346" s="90">
        <v>69</v>
      </c>
      <c r="F346" s="91">
        <v>54230</v>
      </c>
      <c r="G346" s="91">
        <v>46384</v>
      </c>
      <c r="H346" s="91">
        <v>9629</v>
      </c>
      <c r="I346" s="91">
        <v>1036.29</v>
      </c>
      <c r="J346" s="91">
        <v>-1783</v>
      </c>
      <c r="K346" s="91">
        <v>57430</v>
      </c>
      <c r="L346" s="91">
        <v>51295</v>
      </c>
      <c r="M346" s="91">
        <v>49073</v>
      </c>
      <c r="N346" s="91">
        <v>60388</v>
      </c>
      <c r="O346" s="91">
        <v>8264</v>
      </c>
      <c r="P346" s="91">
        <v>1596</v>
      </c>
      <c r="Q346" s="91">
        <v>0</v>
      </c>
      <c r="R346" s="91">
        <v>0</v>
      </c>
      <c r="S346" s="91">
        <v>-2014</v>
      </c>
      <c r="T346" s="91">
        <v>0</v>
      </c>
      <c r="U346" s="91">
        <v>0</v>
      </c>
      <c r="V346" s="202">
        <v>0</v>
      </c>
      <c r="W346" s="91">
        <v>-231</v>
      </c>
      <c r="X346" s="91">
        <v>0</v>
      </c>
      <c r="Y346" s="91">
        <v>1783</v>
      </c>
      <c r="Z346" s="91">
        <v>0</v>
      </c>
      <c r="AA346" s="91">
        <v>0</v>
      </c>
      <c r="AB346" s="91">
        <v>-231</v>
      </c>
      <c r="AC346" s="91">
        <v>-231</v>
      </c>
      <c r="AD346" s="91">
        <v>-231</v>
      </c>
      <c r="AE346" s="91">
        <v>-231</v>
      </c>
      <c r="AF346" s="91">
        <v>-231</v>
      </c>
      <c r="AG346" s="91">
        <v>-628</v>
      </c>
      <c r="AH346" s="84">
        <v>8.6999999999999993</v>
      </c>
      <c r="AI346" s="97">
        <f t="shared" si="5"/>
        <v>7846</v>
      </c>
    </row>
    <row r="347" spans="1:35">
      <c r="A347" s="55" t="s">
        <v>512</v>
      </c>
      <c r="B347" s="91">
        <v>0</v>
      </c>
      <c r="C347" s="91">
        <v>0</v>
      </c>
      <c r="D347" s="91">
        <v>0</v>
      </c>
      <c r="E347" s="90">
        <v>0</v>
      </c>
      <c r="F347" s="91">
        <v>0</v>
      </c>
      <c r="G347" s="91">
        <v>0</v>
      </c>
      <c r="H347" s="91">
        <v>0</v>
      </c>
      <c r="I347" s="91">
        <v>0</v>
      </c>
      <c r="J347" s="91">
        <v>0</v>
      </c>
      <c r="K347" s="91">
        <v>0</v>
      </c>
      <c r="L347" s="91">
        <v>0</v>
      </c>
      <c r="M347" s="91">
        <v>0</v>
      </c>
      <c r="N347" s="91">
        <v>0</v>
      </c>
      <c r="O347" s="91">
        <v>0</v>
      </c>
      <c r="P347" s="91">
        <v>0</v>
      </c>
      <c r="Q347" s="91">
        <v>0</v>
      </c>
      <c r="R347" s="91">
        <v>0</v>
      </c>
      <c r="S347" s="91">
        <v>0</v>
      </c>
      <c r="T347" s="91">
        <v>0</v>
      </c>
      <c r="U347" s="91">
        <v>0</v>
      </c>
      <c r="V347" s="202">
        <v>0</v>
      </c>
      <c r="W347" s="91">
        <v>0</v>
      </c>
      <c r="X347" s="91">
        <v>0</v>
      </c>
      <c r="Y347" s="91">
        <v>0</v>
      </c>
      <c r="Z347" s="91">
        <v>0</v>
      </c>
      <c r="AA347" s="91">
        <v>0</v>
      </c>
      <c r="AB347" s="91">
        <v>0</v>
      </c>
      <c r="AC347" s="91">
        <v>0</v>
      </c>
      <c r="AD347" s="91">
        <v>0</v>
      </c>
      <c r="AE347" s="91">
        <v>0</v>
      </c>
      <c r="AF347" s="91">
        <v>0</v>
      </c>
      <c r="AG347" s="91">
        <v>0</v>
      </c>
      <c r="AH347" s="84">
        <v>1</v>
      </c>
      <c r="AI347" s="97">
        <f t="shared" si="5"/>
        <v>0</v>
      </c>
    </row>
    <row r="348" spans="1:35">
      <c r="A348" s="55" t="s">
        <v>513</v>
      </c>
      <c r="B348" s="91">
        <v>0</v>
      </c>
      <c r="C348" s="91">
        <v>0</v>
      </c>
      <c r="D348" s="91">
        <v>0</v>
      </c>
      <c r="E348" s="90">
        <v>0</v>
      </c>
      <c r="F348" s="91">
        <v>0</v>
      </c>
      <c r="G348" s="91">
        <v>0</v>
      </c>
      <c r="H348" s="91">
        <v>0</v>
      </c>
      <c r="I348" s="91">
        <v>0</v>
      </c>
      <c r="J348" s="91">
        <v>0</v>
      </c>
      <c r="K348" s="91">
        <v>0</v>
      </c>
      <c r="L348" s="91">
        <v>0</v>
      </c>
      <c r="M348" s="91">
        <v>0</v>
      </c>
      <c r="N348" s="91">
        <v>0</v>
      </c>
      <c r="O348" s="91">
        <v>0</v>
      </c>
      <c r="P348" s="91">
        <v>0</v>
      </c>
      <c r="Q348" s="91">
        <v>0</v>
      </c>
      <c r="R348" s="91">
        <v>0</v>
      </c>
      <c r="S348" s="91">
        <v>0</v>
      </c>
      <c r="T348" s="91">
        <v>0</v>
      </c>
      <c r="U348" s="91">
        <v>0</v>
      </c>
      <c r="V348" s="202">
        <v>0</v>
      </c>
      <c r="W348" s="91">
        <v>0</v>
      </c>
      <c r="X348" s="91">
        <v>0</v>
      </c>
      <c r="Y348" s="91">
        <v>0</v>
      </c>
      <c r="Z348" s="91">
        <v>0</v>
      </c>
      <c r="AA348" s="91">
        <v>0</v>
      </c>
      <c r="AB348" s="91">
        <v>0</v>
      </c>
      <c r="AC348" s="91">
        <v>0</v>
      </c>
      <c r="AD348" s="91">
        <v>0</v>
      </c>
      <c r="AE348" s="91">
        <v>0</v>
      </c>
      <c r="AF348" s="91">
        <v>0</v>
      </c>
      <c r="AG348" s="91">
        <v>0</v>
      </c>
      <c r="AH348" s="84">
        <v>1</v>
      </c>
      <c r="AI348" s="97">
        <f t="shared" si="5"/>
        <v>0</v>
      </c>
    </row>
    <row r="349" spans="1:35">
      <c r="A349" s="55" t="s">
        <v>514</v>
      </c>
      <c r="B349" s="91">
        <v>0</v>
      </c>
      <c r="C349" s="91">
        <v>0</v>
      </c>
      <c r="D349" s="91">
        <v>0</v>
      </c>
      <c r="E349" s="90">
        <v>0</v>
      </c>
      <c r="F349" s="91">
        <v>0</v>
      </c>
      <c r="G349" s="91">
        <v>0</v>
      </c>
      <c r="H349" s="91">
        <v>0</v>
      </c>
      <c r="I349" s="91">
        <v>0</v>
      </c>
      <c r="J349" s="91">
        <v>0</v>
      </c>
      <c r="K349" s="91">
        <v>0</v>
      </c>
      <c r="L349" s="91">
        <v>0</v>
      </c>
      <c r="M349" s="91">
        <v>0</v>
      </c>
      <c r="N349" s="91">
        <v>0</v>
      </c>
      <c r="O349" s="91">
        <v>0</v>
      </c>
      <c r="P349" s="91">
        <v>0</v>
      </c>
      <c r="Q349" s="91">
        <v>0</v>
      </c>
      <c r="R349" s="91">
        <v>0</v>
      </c>
      <c r="S349" s="91">
        <v>0</v>
      </c>
      <c r="T349" s="91">
        <v>0</v>
      </c>
      <c r="U349" s="91">
        <v>0</v>
      </c>
      <c r="V349" s="202">
        <v>0</v>
      </c>
      <c r="W349" s="91">
        <v>0</v>
      </c>
      <c r="X349" s="91">
        <v>0</v>
      </c>
      <c r="Y349" s="91">
        <v>0</v>
      </c>
      <c r="Z349" s="91">
        <v>0</v>
      </c>
      <c r="AA349" s="91">
        <v>0</v>
      </c>
      <c r="AB349" s="91">
        <v>0</v>
      </c>
      <c r="AC349" s="91">
        <v>0</v>
      </c>
      <c r="AD349" s="91">
        <v>0</v>
      </c>
      <c r="AE349" s="91">
        <v>0</v>
      </c>
      <c r="AF349" s="91">
        <v>0</v>
      </c>
      <c r="AG349" s="91">
        <v>0</v>
      </c>
      <c r="AH349" s="84">
        <v>1</v>
      </c>
      <c r="AI349" s="97">
        <f t="shared" si="5"/>
        <v>0</v>
      </c>
    </row>
    <row r="350" spans="1:35">
      <c r="A350" s="55" t="s">
        <v>515</v>
      </c>
      <c r="B350" s="91">
        <v>1</v>
      </c>
      <c r="C350" s="91">
        <v>0</v>
      </c>
      <c r="D350" s="91">
        <v>3</v>
      </c>
      <c r="E350" s="90">
        <v>3</v>
      </c>
      <c r="F350" s="91">
        <v>24744</v>
      </c>
      <c r="G350" s="91">
        <v>29071</v>
      </c>
      <c r="H350" s="91">
        <v>1279</v>
      </c>
      <c r="I350" s="91">
        <v>4733.8100000000004</v>
      </c>
      <c r="J350" s="91">
        <v>-840</v>
      </c>
      <c r="K350" s="91">
        <v>26270</v>
      </c>
      <c r="L350" s="91">
        <v>23251</v>
      </c>
      <c r="M350" s="91">
        <v>22572</v>
      </c>
      <c r="N350" s="91">
        <v>27203</v>
      </c>
      <c r="O350" s="91">
        <v>602</v>
      </c>
      <c r="P350" s="91">
        <v>797</v>
      </c>
      <c r="Q350" s="91">
        <v>0</v>
      </c>
      <c r="R350" s="91">
        <v>0</v>
      </c>
      <c r="S350" s="91">
        <v>-960</v>
      </c>
      <c r="T350" s="91">
        <v>4766</v>
      </c>
      <c r="U350" s="91">
        <v>0</v>
      </c>
      <c r="V350" s="202">
        <v>0</v>
      </c>
      <c r="W350" s="91">
        <v>-120</v>
      </c>
      <c r="X350" s="91">
        <v>0</v>
      </c>
      <c r="Y350" s="91">
        <v>840</v>
      </c>
      <c r="Z350" s="91">
        <v>0</v>
      </c>
      <c r="AA350" s="91">
        <v>0</v>
      </c>
      <c r="AB350" s="91">
        <v>-120</v>
      </c>
      <c r="AC350" s="91">
        <v>-120</v>
      </c>
      <c r="AD350" s="91">
        <v>-120</v>
      </c>
      <c r="AE350" s="91">
        <v>-120</v>
      </c>
      <c r="AF350" s="91">
        <v>-120</v>
      </c>
      <c r="AG350" s="91">
        <v>-240</v>
      </c>
      <c r="AH350" s="84">
        <v>8</v>
      </c>
      <c r="AI350" s="97">
        <f t="shared" si="5"/>
        <v>-4327</v>
      </c>
    </row>
    <row r="351" spans="1:35">
      <c r="A351" s="55" t="s">
        <v>516</v>
      </c>
      <c r="B351" s="91">
        <v>0</v>
      </c>
      <c r="C351" s="91">
        <v>0</v>
      </c>
      <c r="D351" s="91">
        <v>0</v>
      </c>
      <c r="E351" s="90">
        <v>0</v>
      </c>
      <c r="F351" s="91">
        <v>0</v>
      </c>
      <c r="G351" s="91">
        <v>0</v>
      </c>
      <c r="H351" s="91">
        <v>0</v>
      </c>
      <c r="I351" s="91">
        <v>0</v>
      </c>
      <c r="J351" s="91">
        <v>0</v>
      </c>
      <c r="K351" s="91">
        <v>0</v>
      </c>
      <c r="L351" s="91">
        <v>0</v>
      </c>
      <c r="M351" s="91">
        <v>0</v>
      </c>
      <c r="N351" s="91">
        <v>0</v>
      </c>
      <c r="O351" s="91">
        <v>0</v>
      </c>
      <c r="P351" s="91">
        <v>0</v>
      </c>
      <c r="Q351" s="91">
        <v>0</v>
      </c>
      <c r="R351" s="91">
        <v>0</v>
      </c>
      <c r="S351" s="91">
        <v>0</v>
      </c>
      <c r="T351" s="91">
        <v>0</v>
      </c>
      <c r="U351" s="91">
        <v>0</v>
      </c>
      <c r="V351" s="202">
        <v>0</v>
      </c>
      <c r="W351" s="91">
        <v>0</v>
      </c>
      <c r="X351" s="91">
        <v>0</v>
      </c>
      <c r="Y351" s="91">
        <v>0</v>
      </c>
      <c r="Z351" s="91">
        <v>0</v>
      </c>
      <c r="AA351" s="91">
        <v>0</v>
      </c>
      <c r="AB351" s="91">
        <v>0</v>
      </c>
      <c r="AC351" s="91">
        <v>0</v>
      </c>
      <c r="AD351" s="91">
        <v>0</v>
      </c>
      <c r="AE351" s="91">
        <v>0</v>
      </c>
      <c r="AF351" s="91">
        <v>0</v>
      </c>
      <c r="AG351" s="91">
        <v>0</v>
      </c>
      <c r="AH351" s="84">
        <v>1</v>
      </c>
      <c r="AI351" s="97">
        <f t="shared" si="5"/>
        <v>0</v>
      </c>
    </row>
    <row r="352" spans="1:35">
      <c r="A352" s="55" t="s">
        <v>517</v>
      </c>
      <c r="B352" s="91">
        <v>0</v>
      </c>
      <c r="C352" s="91">
        <v>0</v>
      </c>
      <c r="D352" s="91">
        <v>0</v>
      </c>
      <c r="E352" s="90">
        <v>0</v>
      </c>
      <c r="F352" s="91">
        <v>0</v>
      </c>
      <c r="G352" s="91">
        <v>0</v>
      </c>
      <c r="H352" s="91">
        <v>0</v>
      </c>
      <c r="I352" s="91">
        <v>0</v>
      </c>
      <c r="J352" s="91">
        <v>0</v>
      </c>
      <c r="K352" s="91">
        <v>0</v>
      </c>
      <c r="L352" s="91">
        <v>0</v>
      </c>
      <c r="M352" s="91">
        <v>0</v>
      </c>
      <c r="N352" s="91">
        <v>0</v>
      </c>
      <c r="O352" s="91">
        <v>0</v>
      </c>
      <c r="P352" s="91">
        <v>0</v>
      </c>
      <c r="Q352" s="91">
        <v>0</v>
      </c>
      <c r="R352" s="91">
        <v>0</v>
      </c>
      <c r="S352" s="91">
        <v>0</v>
      </c>
      <c r="T352" s="91">
        <v>0</v>
      </c>
      <c r="U352" s="91">
        <v>0</v>
      </c>
      <c r="V352" s="202">
        <v>0</v>
      </c>
      <c r="W352" s="91">
        <v>0</v>
      </c>
      <c r="X352" s="91">
        <v>0</v>
      </c>
      <c r="Y352" s="91">
        <v>0</v>
      </c>
      <c r="Z352" s="91">
        <v>0</v>
      </c>
      <c r="AA352" s="91">
        <v>0</v>
      </c>
      <c r="AB352" s="91">
        <v>0</v>
      </c>
      <c r="AC352" s="91">
        <v>0</v>
      </c>
      <c r="AD352" s="91">
        <v>0</v>
      </c>
      <c r="AE352" s="91">
        <v>0</v>
      </c>
      <c r="AF352" s="91">
        <v>0</v>
      </c>
      <c r="AG352" s="91">
        <v>0</v>
      </c>
      <c r="AH352" s="84">
        <v>1</v>
      </c>
      <c r="AI352" s="97">
        <f t="shared" si="5"/>
        <v>0</v>
      </c>
    </row>
    <row r="353" spans="1:35">
      <c r="A353" s="55" t="s">
        <v>518</v>
      </c>
      <c r="B353" s="91">
        <v>0</v>
      </c>
      <c r="C353" s="91">
        <v>0</v>
      </c>
      <c r="D353" s="91">
        <v>3</v>
      </c>
      <c r="E353" s="90">
        <v>5</v>
      </c>
      <c r="F353" s="91">
        <v>1394</v>
      </c>
      <c r="G353" s="91">
        <v>780</v>
      </c>
      <c r="H353" s="91">
        <v>616</v>
      </c>
      <c r="I353" s="91">
        <v>132.11000000000001</v>
      </c>
      <c r="J353" s="91">
        <v>-2</v>
      </c>
      <c r="K353" s="91">
        <v>1395</v>
      </c>
      <c r="L353" s="91">
        <v>1388</v>
      </c>
      <c r="M353" s="91">
        <v>1293</v>
      </c>
      <c r="N353" s="91">
        <v>1505</v>
      </c>
      <c r="O353" s="91">
        <v>577</v>
      </c>
      <c r="P353" s="91">
        <v>40</v>
      </c>
      <c r="Q353" s="91">
        <v>0</v>
      </c>
      <c r="R353" s="91">
        <v>0</v>
      </c>
      <c r="S353" s="91">
        <v>-3</v>
      </c>
      <c r="T353" s="91">
        <v>0</v>
      </c>
      <c r="U353" s="91">
        <v>0</v>
      </c>
      <c r="V353" s="202">
        <v>0</v>
      </c>
      <c r="W353" s="91">
        <v>-1</v>
      </c>
      <c r="X353" s="91">
        <v>0</v>
      </c>
      <c r="Y353" s="91">
        <v>2</v>
      </c>
      <c r="Z353" s="91">
        <v>0</v>
      </c>
      <c r="AA353" s="91">
        <v>0</v>
      </c>
      <c r="AB353" s="91">
        <v>-1</v>
      </c>
      <c r="AC353" s="91">
        <v>-1</v>
      </c>
      <c r="AD353" s="91">
        <v>0</v>
      </c>
      <c r="AE353" s="91">
        <v>0</v>
      </c>
      <c r="AF353" s="91">
        <v>0</v>
      </c>
      <c r="AG353" s="91">
        <v>0</v>
      </c>
      <c r="AH353" s="84">
        <v>6.1</v>
      </c>
      <c r="AI353" s="97">
        <f t="shared" si="5"/>
        <v>614</v>
      </c>
    </row>
    <row r="354" spans="1:35" ht="22.5">
      <c r="A354" s="55" t="s">
        <v>519</v>
      </c>
      <c r="B354" s="91">
        <v>0</v>
      </c>
      <c r="C354" s="91">
        <v>0</v>
      </c>
      <c r="D354" s="91">
        <v>1</v>
      </c>
      <c r="E354" s="90">
        <v>1</v>
      </c>
      <c r="F354" s="91">
        <v>0</v>
      </c>
      <c r="G354" s="91">
        <v>0</v>
      </c>
      <c r="H354" s="91">
        <v>0</v>
      </c>
      <c r="I354" s="91">
        <v>146.50999999999996</v>
      </c>
      <c r="J354" s="91">
        <v>0</v>
      </c>
      <c r="K354" s="91">
        <v>0</v>
      </c>
      <c r="L354" s="91">
        <v>0</v>
      </c>
      <c r="M354" s="91">
        <v>0</v>
      </c>
      <c r="N354" s="91">
        <v>0</v>
      </c>
      <c r="O354" s="91">
        <v>0</v>
      </c>
      <c r="P354" s="91">
        <v>0</v>
      </c>
      <c r="Q354" s="91">
        <v>0</v>
      </c>
      <c r="R354" s="91">
        <v>0</v>
      </c>
      <c r="S354" s="91">
        <v>0</v>
      </c>
      <c r="T354" s="91">
        <v>0</v>
      </c>
      <c r="U354" s="91">
        <v>0</v>
      </c>
      <c r="V354" s="202">
        <v>0</v>
      </c>
      <c r="W354" s="91">
        <v>0</v>
      </c>
      <c r="X354" s="91">
        <v>0</v>
      </c>
      <c r="Y354" s="91">
        <v>0</v>
      </c>
      <c r="Z354" s="91">
        <v>0</v>
      </c>
      <c r="AA354" s="91">
        <v>0</v>
      </c>
      <c r="AB354" s="91">
        <v>0</v>
      </c>
      <c r="AC354" s="91">
        <v>0</v>
      </c>
      <c r="AD354" s="91">
        <v>0</v>
      </c>
      <c r="AE354" s="91">
        <v>0</v>
      </c>
      <c r="AF354" s="91">
        <v>0</v>
      </c>
      <c r="AG354" s="91">
        <v>0</v>
      </c>
      <c r="AH354" s="84">
        <v>1.3</v>
      </c>
      <c r="AI354" s="97">
        <f t="shared" si="5"/>
        <v>0</v>
      </c>
    </row>
    <row r="355" spans="1:35">
      <c r="A355" s="55" t="s">
        <v>520</v>
      </c>
      <c r="B355" s="91">
        <v>0</v>
      </c>
      <c r="C355" s="91">
        <v>0</v>
      </c>
      <c r="D355" s="91">
        <v>1</v>
      </c>
      <c r="E355" s="90">
        <v>1</v>
      </c>
      <c r="F355" s="91">
        <v>0</v>
      </c>
      <c r="G355" s="91">
        <v>0</v>
      </c>
      <c r="H355" s="91">
        <v>0</v>
      </c>
      <c r="I355" s="91">
        <v>0</v>
      </c>
      <c r="J355" s="91">
        <v>0</v>
      </c>
      <c r="K355" s="91">
        <v>0</v>
      </c>
      <c r="L355" s="91">
        <v>0</v>
      </c>
      <c r="M355" s="91">
        <v>0</v>
      </c>
      <c r="N355" s="91">
        <v>0</v>
      </c>
      <c r="O355" s="91">
        <v>0</v>
      </c>
      <c r="P355" s="91">
        <v>0</v>
      </c>
      <c r="Q355" s="91">
        <v>0</v>
      </c>
      <c r="R355" s="91">
        <v>0</v>
      </c>
      <c r="S355" s="91">
        <v>0</v>
      </c>
      <c r="T355" s="91">
        <v>0</v>
      </c>
      <c r="U355" s="91">
        <v>0</v>
      </c>
      <c r="V355" s="202">
        <v>0</v>
      </c>
      <c r="W355" s="91">
        <v>0</v>
      </c>
      <c r="X355" s="91">
        <v>0</v>
      </c>
      <c r="Y355" s="91">
        <v>0</v>
      </c>
      <c r="Z355" s="91">
        <v>0</v>
      </c>
      <c r="AA355" s="91">
        <v>0</v>
      </c>
      <c r="AB355" s="91">
        <v>0</v>
      </c>
      <c r="AC355" s="91">
        <v>0</v>
      </c>
      <c r="AD355" s="91">
        <v>0</v>
      </c>
      <c r="AE355" s="91">
        <v>0</v>
      </c>
      <c r="AF355" s="91">
        <v>0</v>
      </c>
      <c r="AG355" s="91">
        <v>0</v>
      </c>
      <c r="AH355" s="84">
        <v>1</v>
      </c>
      <c r="AI355" s="97">
        <f t="shared" si="5"/>
        <v>0</v>
      </c>
    </row>
    <row r="356" spans="1:35" ht="22.5">
      <c r="A356" s="55" t="s">
        <v>521</v>
      </c>
      <c r="B356" s="91">
        <v>0</v>
      </c>
      <c r="C356" s="91">
        <v>0</v>
      </c>
      <c r="D356" s="91">
        <v>0</v>
      </c>
      <c r="E356" s="90">
        <v>0</v>
      </c>
      <c r="F356" s="91">
        <v>0</v>
      </c>
      <c r="G356" s="91">
        <v>0</v>
      </c>
      <c r="H356" s="91">
        <v>0</v>
      </c>
      <c r="I356" s="91">
        <v>0</v>
      </c>
      <c r="J356" s="91">
        <v>0</v>
      </c>
      <c r="K356" s="91">
        <v>0</v>
      </c>
      <c r="L356" s="91">
        <v>0</v>
      </c>
      <c r="M356" s="91">
        <v>0</v>
      </c>
      <c r="N356" s="91">
        <v>0</v>
      </c>
      <c r="O356" s="91">
        <v>0</v>
      </c>
      <c r="P356" s="91">
        <v>0</v>
      </c>
      <c r="Q356" s="91">
        <v>0</v>
      </c>
      <c r="R356" s="91">
        <v>0</v>
      </c>
      <c r="S356" s="91">
        <v>0</v>
      </c>
      <c r="T356" s="91">
        <v>0</v>
      </c>
      <c r="U356" s="91">
        <v>0</v>
      </c>
      <c r="V356" s="202">
        <v>0</v>
      </c>
      <c r="W356" s="91">
        <v>0</v>
      </c>
      <c r="X356" s="91">
        <v>0</v>
      </c>
      <c r="Y356" s="91">
        <v>0</v>
      </c>
      <c r="Z356" s="91">
        <v>0</v>
      </c>
      <c r="AA356" s="91">
        <v>0</v>
      </c>
      <c r="AB356" s="91">
        <v>0</v>
      </c>
      <c r="AC356" s="91">
        <v>0</v>
      </c>
      <c r="AD356" s="91">
        <v>0</v>
      </c>
      <c r="AE356" s="91">
        <v>0</v>
      </c>
      <c r="AF356" s="91">
        <v>0</v>
      </c>
      <c r="AG356" s="91">
        <v>0</v>
      </c>
      <c r="AH356" s="84">
        <v>1</v>
      </c>
      <c r="AI356" s="97">
        <f t="shared" si="5"/>
        <v>0</v>
      </c>
    </row>
    <row r="357" spans="1:35">
      <c r="A357" s="55" t="s">
        <v>522</v>
      </c>
      <c r="B357" s="91">
        <v>0</v>
      </c>
      <c r="C357" s="91">
        <v>0</v>
      </c>
      <c r="D357" s="91">
        <v>0</v>
      </c>
      <c r="E357" s="90">
        <v>0</v>
      </c>
      <c r="F357" s="91">
        <v>0</v>
      </c>
      <c r="G357" s="91">
        <v>0</v>
      </c>
      <c r="H357" s="91">
        <v>0</v>
      </c>
      <c r="I357" s="91">
        <v>0</v>
      </c>
      <c r="J357" s="91">
        <v>0</v>
      </c>
      <c r="K357" s="91">
        <v>0</v>
      </c>
      <c r="L357" s="91">
        <v>0</v>
      </c>
      <c r="M357" s="91">
        <v>0</v>
      </c>
      <c r="N357" s="91">
        <v>0</v>
      </c>
      <c r="O357" s="91">
        <v>0</v>
      </c>
      <c r="P357" s="91">
        <v>0</v>
      </c>
      <c r="Q357" s="91">
        <v>0</v>
      </c>
      <c r="R357" s="91">
        <v>0</v>
      </c>
      <c r="S357" s="91">
        <v>0</v>
      </c>
      <c r="T357" s="91">
        <v>0</v>
      </c>
      <c r="U357" s="91">
        <v>0</v>
      </c>
      <c r="V357" s="202">
        <v>0</v>
      </c>
      <c r="W357" s="91">
        <v>0</v>
      </c>
      <c r="X357" s="91">
        <v>0</v>
      </c>
      <c r="Y357" s="91">
        <v>0</v>
      </c>
      <c r="Z357" s="91">
        <v>0</v>
      </c>
      <c r="AA357" s="91">
        <v>0</v>
      </c>
      <c r="AB357" s="91">
        <v>0</v>
      </c>
      <c r="AC357" s="91">
        <v>0</v>
      </c>
      <c r="AD357" s="91">
        <v>0</v>
      </c>
      <c r="AE357" s="91">
        <v>0</v>
      </c>
      <c r="AF357" s="91">
        <v>0</v>
      </c>
      <c r="AG357" s="91">
        <v>0</v>
      </c>
      <c r="AH357" s="84">
        <v>1</v>
      </c>
      <c r="AI357" s="97">
        <f t="shared" si="5"/>
        <v>0</v>
      </c>
    </row>
    <row r="358" spans="1:35">
      <c r="A358" s="55" t="s">
        <v>523</v>
      </c>
      <c r="B358" s="91">
        <v>0</v>
      </c>
      <c r="C358" s="91">
        <v>0</v>
      </c>
      <c r="D358" s="91">
        <v>223</v>
      </c>
      <c r="E358" s="90">
        <v>230</v>
      </c>
      <c r="F358" s="91">
        <v>183518</v>
      </c>
      <c r="G358" s="91">
        <v>172390</v>
      </c>
      <c r="H358" s="91">
        <v>19604</v>
      </c>
      <c r="I358" s="91">
        <v>931.35000000000036</v>
      </c>
      <c r="J358" s="91">
        <v>-8476</v>
      </c>
      <c r="K358" s="91">
        <v>198433</v>
      </c>
      <c r="L358" s="91">
        <v>169402</v>
      </c>
      <c r="M358" s="91">
        <v>160707</v>
      </c>
      <c r="N358" s="91">
        <v>210417</v>
      </c>
      <c r="O358" s="91">
        <v>15161</v>
      </c>
      <c r="P358" s="91">
        <v>5477</v>
      </c>
      <c r="Q358" s="91">
        <v>0</v>
      </c>
      <c r="R358" s="91">
        <v>0</v>
      </c>
      <c r="S358" s="91">
        <v>-9510</v>
      </c>
      <c r="T358" s="91">
        <v>0</v>
      </c>
      <c r="U358" s="91">
        <v>0</v>
      </c>
      <c r="V358" s="202">
        <v>0</v>
      </c>
      <c r="W358" s="91">
        <v>-1034</v>
      </c>
      <c r="X358" s="91">
        <v>0</v>
      </c>
      <c r="Y358" s="91">
        <v>8476</v>
      </c>
      <c r="Z358" s="91">
        <v>0</v>
      </c>
      <c r="AA358" s="91">
        <v>0</v>
      </c>
      <c r="AB358" s="91">
        <v>-1034</v>
      </c>
      <c r="AC358" s="91">
        <v>-1034</v>
      </c>
      <c r="AD358" s="91">
        <v>-1034</v>
      </c>
      <c r="AE358" s="91">
        <v>-1034</v>
      </c>
      <c r="AF358" s="91">
        <v>-1034</v>
      </c>
      <c r="AG358" s="91">
        <v>-3306</v>
      </c>
      <c r="AH358" s="84">
        <v>9.1999999999999993</v>
      </c>
      <c r="AI358" s="97">
        <f t="shared" si="5"/>
        <v>11128</v>
      </c>
    </row>
    <row r="359" spans="1:35">
      <c r="A359" s="55" t="s">
        <v>524</v>
      </c>
      <c r="B359" s="91">
        <v>0</v>
      </c>
      <c r="C359" s="91">
        <v>0</v>
      </c>
      <c r="D359" s="91">
        <v>2</v>
      </c>
      <c r="E359" s="90">
        <v>2</v>
      </c>
      <c r="F359" s="91">
        <v>6684</v>
      </c>
      <c r="G359" s="91">
        <v>6390</v>
      </c>
      <c r="H359" s="91">
        <v>703</v>
      </c>
      <c r="I359" s="91">
        <v>0</v>
      </c>
      <c r="J359" s="91">
        <v>-409</v>
      </c>
      <c r="K359" s="91">
        <v>7397</v>
      </c>
      <c r="L359" s="91">
        <v>5974</v>
      </c>
      <c r="M359" s="91">
        <v>5538</v>
      </c>
      <c r="N359" s="91">
        <v>8034</v>
      </c>
      <c r="O359" s="91">
        <v>532</v>
      </c>
      <c r="P359" s="91">
        <v>202</v>
      </c>
      <c r="Q359" s="91">
        <v>0</v>
      </c>
      <c r="R359" s="91">
        <v>0</v>
      </c>
      <c r="S359" s="91">
        <v>-440</v>
      </c>
      <c r="T359" s="91">
        <v>0</v>
      </c>
      <c r="U359" s="91">
        <v>0</v>
      </c>
      <c r="V359" s="202">
        <v>0</v>
      </c>
      <c r="W359" s="91">
        <v>-31</v>
      </c>
      <c r="X359" s="91">
        <v>0</v>
      </c>
      <c r="Y359" s="91">
        <v>409</v>
      </c>
      <c r="Z359" s="91">
        <v>0</v>
      </c>
      <c r="AA359" s="91">
        <v>0</v>
      </c>
      <c r="AB359" s="91">
        <v>-31</v>
      </c>
      <c r="AC359" s="91">
        <v>-31</v>
      </c>
      <c r="AD359" s="91">
        <v>-31</v>
      </c>
      <c r="AE359" s="91">
        <v>-31</v>
      </c>
      <c r="AF359" s="91">
        <v>-31</v>
      </c>
      <c r="AG359" s="91">
        <v>-254</v>
      </c>
      <c r="AH359" s="84">
        <v>14</v>
      </c>
      <c r="AI359" s="97">
        <f t="shared" si="5"/>
        <v>294</v>
      </c>
    </row>
    <row r="360" spans="1:35">
      <c r="A360" s="55" t="s">
        <v>525</v>
      </c>
      <c r="B360" s="91">
        <v>0</v>
      </c>
      <c r="C360" s="91">
        <v>0</v>
      </c>
      <c r="D360" s="91">
        <v>20</v>
      </c>
      <c r="E360" s="90">
        <v>22</v>
      </c>
      <c r="F360" s="91">
        <v>53015</v>
      </c>
      <c r="G360" s="91">
        <v>50690</v>
      </c>
      <c r="H360" s="91">
        <v>4571</v>
      </c>
      <c r="I360" s="91">
        <v>98.510000000000105</v>
      </c>
      <c r="J360" s="91">
        <v>-2246</v>
      </c>
      <c r="K360" s="91">
        <v>57053</v>
      </c>
      <c r="L360" s="91">
        <v>49051</v>
      </c>
      <c r="M360" s="91">
        <v>46897</v>
      </c>
      <c r="N360" s="91">
        <v>60082</v>
      </c>
      <c r="O360" s="91">
        <v>3298</v>
      </c>
      <c r="P360" s="91">
        <v>1576</v>
      </c>
      <c r="Q360" s="91">
        <v>0</v>
      </c>
      <c r="R360" s="91">
        <v>0</v>
      </c>
      <c r="S360" s="91">
        <v>-2549</v>
      </c>
      <c r="T360" s="91">
        <v>0</v>
      </c>
      <c r="U360" s="91">
        <v>0</v>
      </c>
      <c r="V360" s="202">
        <v>0</v>
      </c>
      <c r="W360" s="91">
        <v>-303</v>
      </c>
      <c r="X360" s="91">
        <v>0</v>
      </c>
      <c r="Y360" s="91">
        <v>2246</v>
      </c>
      <c r="Z360" s="91">
        <v>0</v>
      </c>
      <c r="AA360" s="91">
        <v>0</v>
      </c>
      <c r="AB360" s="91">
        <v>-303</v>
      </c>
      <c r="AC360" s="91">
        <v>-303</v>
      </c>
      <c r="AD360" s="91">
        <v>-303</v>
      </c>
      <c r="AE360" s="91">
        <v>-303</v>
      </c>
      <c r="AF360" s="91">
        <v>-303</v>
      </c>
      <c r="AG360" s="91">
        <v>-731</v>
      </c>
      <c r="AH360" s="84">
        <v>8.4</v>
      </c>
      <c r="AI360" s="97">
        <f t="shared" si="5"/>
        <v>2325</v>
      </c>
    </row>
    <row r="361" spans="1:35">
      <c r="A361" s="55" t="s">
        <v>526</v>
      </c>
      <c r="B361" s="91">
        <v>0</v>
      </c>
      <c r="C361" s="91">
        <v>0</v>
      </c>
      <c r="D361" s="91">
        <v>2</v>
      </c>
      <c r="E361" s="90">
        <v>2</v>
      </c>
      <c r="F361" s="91">
        <v>511</v>
      </c>
      <c r="G361" s="91">
        <v>343</v>
      </c>
      <c r="H361" s="91">
        <v>181</v>
      </c>
      <c r="I361" s="91">
        <v>0.54</v>
      </c>
      <c r="J361" s="91">
        <v>-13</v>
      </c>
      <c r="K361" s="91">
        <v>530</v>
      </c>
      <c r="L361" s="91">
        <v>487</v>
      </c>
      <c r="M361" s="91">
        <v>470</v>
      </c>
      <c r="N361" s="91">
        <v>557</v>
      </c>
      <c r="O361" s="91">
        <v>168</v>
      </c>
      <c r="P361" s="91">
        <v>15</v>
      </c>
      <c r="Q361" s="91">
        <v>0</v>
      </c>
      <c r="R361" s="91">
        <v>0</v>
      </c>
      <c r="S361" s="91">
        <v>-15</v>
      </c>
      <c r="T361" s="91">
        <v>0</v>
      </c>
      <c r="U361" s="91">
        <v>0</v>
      </c>
      <c r="V361" s="202">
        <v>0</v>
      </c>
      <c r="W361" s="91">
        <v>-2</v>
      </c>
      <c r="X361" s="91">
        <v>0</v>
      </c>
      <c r="Y361" s="91">
        <v>13</v>
      </c>
      <c r="Z361" s="91">
        <v>0</v>
      </c>
      <c r="AA361" s="91">
        <v>0</v>
      </c>
      <c r="AB361" s="91">
        <v>-2</v>
      </c>
      <c r="AC361" s="91">
        <v>-2</v>
      </c>
      <c r="AD361" s="91">
        <v>-2</v>
      </c>
      <c r="AE361" s="91">
        <v>-2</v>
      </c>
      <c r="AF361" s="91">
        <v>-2</v>
      </c>
      <c r="AG361" s="91">
        <v>-3</v>
      </c>
      <c r="AH361" s="84">
        <v>7.1</v>
      </c>
      <c r="AI361" s="97">
        <f t="shared" si="5"/>
        <v>168</v>
      </c>
    </row>
    <row r="362" spans="1:35">
      <c r="A362" s="55" t="s">
        <v>527</v>
      </c>
      <c r="B362" s="91">
        <v>0</v>
      </c>
      <c r="C362" s="91">
        <v>0</v>
      </c>
      <c r="D362" s="91">
        <v>8</v>
      </c>
      <c r="E362" s="90">
        <v>9</v>
      </c>
      <c r="F362" s="91">
        <v>13653</v>
      </c>
      <c r="G362" s="91">
        <v>12046</v>
      </c>
      <c r="H362" s="91">
        <v>2225</v>
      </c>
      <c r="I362" s="91">
        <v>21.159999999999997</v>
      </c>
      <c r="J362" s="91">
        <v>-618</v>
      </c>
      <c r="K362" s="91">
        <v>14763</v>
      </c>
      <c r="L362" s="91">
        <v>12613</v>
      </c>
      <c r="M362" s="91">
        <v>12012</v>
      </c>
      <c r="N362" s="91">
        <v>15586</v>
      </c>
      <c r="O362" s="91">
        <v>1902</v>
      </c>
      <c r="P362" s="91">
        <v>407</v>
      </c>
      <c r="Q362" s="91">
        <v>0</v>
      </c>
      <c r="R362" s="91">
        <v>0</v>
      </c>
      <c r="S362" s="91">
        <v>-702</v>
      </c>
      <c r="T362" s="91">
        <v>0</v>
      </c>
      <c r="U362" s="91">
        <v>0</v>
      </c>
      <c r="V362" s="202">
        <v>0</v>
      </c>
      <c r="W362" s="91">
        <v>-84</v>
      </c>
      <c r="X362" s="91">
        <v>0</v>
      </c>
      <c r="Y362" s="91">
        <v>618</v>
      </c>
      <c r="Z362" s="91">
        <v>0</v>
      </c>
      <c r="AA362" s="91">
        <v>0</v>
      </c>
      <c r="AB362" s="91">
        <v>-84</v>
      </c>
      <c r="AC362" s="91">
        <v>-84</v>
      </c>
      <c r="AD362" s="91">
        <v>-84</v>
      </c>
      <c r="AE362" s="91">
        <v>-84</v>
      </c>
      <c r="AF362" s="91">
        <v>-84</v>
      </c>
      <c r="AG362" s="91">
        <v>-198</v>
      </c>
      <c r="AH362" s="84">
        <v>8.4</v>
      </c>
      <c r="AI362" s="97">
        <f t="shared" si="5"/>
        <v>1607</v>
      </c>
    </row>
    <row r="363" spans="1:35">
      <c r="A363" s="55" t="s">
        <v>528</v>
      </c>
      <c r="B363" s="91">
        <v>1</v>
      </c>
      <c r="C363" s="91">
        <v>0</v>
      </c>
      <c r="D363" s="91">
        <v>159</v>
      </c>
      <c r="E363" s="90">
        <v>166</v>
      </c>
      <c r="F363" s="91">
        <v>289890</v>
      </c>
      <c r="G363" s="91">
        <v>275000</v>
      </c>
      <c r="H363" s="91">
        <v>37528</v>
      </c>
      <c r="I363" s="91">
        <v>10162.099999999995</v>
      </c>
      <c r="J363" s="91">
        <v>-13873</v>
      </c>
      <c r="K363" s="91">
        <v>314353</v>
      </c>
      <c r="L363" s="91">
        <v>266859</v>
      </c>
      <c r="M363" s="91">
        <v>253120</v>
      </c>
      <c r="N363" s="91">
        <v>334080</v>
      </c>
      <c r="O363" s="91">
        <v>30318</v>
      </c>
      <c r="P363" s="91">
        <v>8787</v>
      </c>
      <c r="Q363" s="91">
        <v>0</v>
      </c>
      <c r="R363" s="91">
        <v>0</v>
      </c>
      <c r="S363" s="91">
        <v>-15450</v>
      </c>
      <c r="T363" s="91">
        <v>8765</v>
      </c>
      <c r="U363" s="91">
        <v>0</v>
      </c>
      <c r="V363" s="202">
        <v>0</v>
      </c>
      <c r="W363" s="91">
        <v>-1577</v>
      </c>
      <c r="X363" s="91">
        <v>0</v>
      </c>
      <c r="Y363" s="91">
        <v>13873</v>
      </c>
      <c r="Z363" s="91">
        <v>0</v>
      </c>
      <c r="AA363" s="91">
        <v>0</v>
      </c>
      <c r="AB363" s="91">
        <v>-1577</v>
      </c>
      <c r="AC363" s="91">
        <v>-1577</v>
      </c>
      <c r="AD363" s="91">
        <v>-1577</v>
      </c>
      <c r="AE363" s="91">
        <v>-1577</v>
      </c>
      <c r="AF363" s="91">
        <v>-1577</v>
      </c>
      <c r="AG363" s="91">
        <v>-5988</v>
      </c>
      <c r="AH363" s="84">
        <v>9.8000000000000007</v>
      </c>
      <c r="AI363" s="97">
        <f t="shared" si="5"/>
        <v>14890</v>
      </c>
    </row>
    <row r="364" spans="1:35">
      <c r="A364" s="55" t="s">
        <v>529</v>
      </c>
      <c r="B364" s="91">
        <v>0</v>
      </c>
      <c r="C364" s="91">
        <v>0</v>
      </c>
      <c r="D364" s="91">
        <v>0</v>
      </c>
      <c r="E364" s="90">
        <v>0</v>
      </c>
      <c r="F364" s="91">
        <v>0</v>
      </c>
      <c r="G364" s="91">
        <v>0</v>
      </c>
      <c r="H364" s="91">
        <v>0</v>
      </c>
      <c r="I364" s="91">
        <v>0</v>
      </c>
      <c r="J364" s="91">
        <v>0</v>
      </c>
      <c r="K364" s="91">
        <v>0</v>
      </c>
      <c r="L364" s="91">
        <v>0</v>
      </c>
      <c r="M364" s="91">
        <v>0</v>
      </c>
      <c r="N364" s="91">
        <v>0</v>
      </c>
      <c r="O364" s="91">
        <v>0</v>
      </c>
      <c r="P364" s="91">
        <v>0</v>
      </c>
      <c r="Q364" s="91">
        <v>0</v>
      </c>
      <c r="R364" s="91">
        <v>0</v>
      </c>
      <c r="S364" s="91">
        <v>0</v>
      </c>
      <c r="T364" s="91">
        <v>0</v>
      </c>
      <c r="U364" s="91">
        <v>0</v>
      </c>
      <c r="V364" s="202">
        <v>0</v>
      </c>
      <c r="W364" s="91">
        <v>0</v>
      </c>
      <c r="X364" s="91">
        <v>0</v>
      </c>
      <c r="Y364" s="91">
        <v>0</v>
      </c>
      <c r="Z364" s="91">
        <v>0</v>
      </c>
      <c r="AA364" s="91">
        <v>0</v>
      </c>
      <c r="AB364" s="91">
        <v>0</v>
      </c>
      <c r="AC364" s="91">
        <v>0</v>
      </c>
      <c r="AD364" s="91">
        <v>0</v>
      </c>
      <c r="AE364" s="91">
        <v>0</v>
      </c>
      <c r="AF364" s="91">
        <v>0</v>
      </c>
      <c r="AG364" s="91">
        <v>0</v>
      </c>
      <c r="AH364" s="84">
        <v>1</v>
      </c>
      <c r="AI364" s="97">
        <f t="shared" si="5"/>
        <v>0</v>
      </c>
    </row>
    <row r="365" spans="1:35">
      <c r="A365" s="55" t="s">
        <v>530</v>
      </c>
      <c r="B365" s="91">
        <v>0</v>
      </c>
      <c r="C365" s="91">
        <v>0</v>
      </c>
      <c r="D365" s="91">
        <v>0</v>
      </c>
      <c r="E365" s="90">
        <v>0</v>
      </c>
      <c r="F365" s="91">
        <v>0</v>
      </c>
      <c r="G365" s="91">
        <v>0</v>
      </c>
      <c r="H365" s="91">
        <v>0</v>
      </c>
      <c r="I365" s="91">
        <v>0</v>
      </c>
      <c r="J365" s="91">
        <v>0</v>
      </c>
      <c r="K365" s="91">
        <v>0</v>
      </c>
      <c r="L365" s="91">
        <v>0</v>
      </c>
      <c r="M365" s="91">
        <v>0</v>
      </c>
      <c r="N365" s="91">
        <v>0</v>
      </c>
      <c r="O365" s="91">
        <v>0</v>
      </c>
      <c r="P365" s="91">
        <v>0</v>
      </c>
      <c r="Q365" s="91">
        <v>0</v>
      </c>
      <c r="R365" s="91">
        <v>0</v>
      </c>
      <c r="S365" s="91">
        <v>0</v>
      </c>
      <c r="T365" s="91">
        <v>0</v>
      </c>
      <c r="U365" s="91">
        <v>0</v>
      </c>
      <c r="V365" s="202">
        <v>0</v>
      </c>
      <c r="W365" s="91">
        <v>0</v>
      </c>
      <c r="X365" s="91">
        <v>0</v>
      </c>
      <c r="Y365" s="91">
        <v>0</v>
      </c>
      <c r="Z365" s="91">
        <v>0</v>
      </c>
      <c r="AA365" s="91">
        <v>0</v>
      </c>
      <c r="AB365" s="91">
        <v>0</v>
      </c>
      <c r="AC365" s="91">
        <v>0</v>
      </c>
      <c r="AD365" s="91">
        <v>0</v>
      </c>
      <c r="AE365" s="91">
        <v>0</v>
      </c>
      <c r="AF365" s="91">
        <v>0</v>
      </c>
      <c r="AG365" s="91">
        <v>0</v>
      </c>
      <c r="AH365" s="84">
        <v>1</v>
      </c>
      <c r="AI365" s="97">
        <f t="shared" si="5"/>
        <v>0</v>
      </c>
    </row>
    <row r="366" spans="1:35">
      <c r="A366" s="55" t="s">
        <v>531</v>
      </c>
      <c r="B366" s="91">
        <v>0</v>
      </c>
      <c r="C366" s="91">
        <v>0</v>
      </c>
      <c r="D366" s="91">
        <v>0</v>
      </c>
      <c r="E366" s="90">
        <v>0</v>
      </c>
      <c r="F366" s="91">
        <v>0</v>
      </c>
      <c r="G366" s="91">
        <v>0</v>
      </c>
      <c r="H366" s="91">
        <v>0</v>
      </c>
      <c r="I366" s="91">
        <v>0</v>
      </c>
      <c r="J366" s="91">
        <v>0</v>
      </c>
      <c r="K366" s="91">
        <v>0</v>
      </c>
      <c r="L366" s="91">
        <v>0</v>
      </c>
      <c r="M366" s="91">
        <v>0</v>
      </c>
      <c r="N366" s="91">
        <v>0</v>
      </c>
      <c r="O366" s="91">
        <v>0</v>
      </c>
      <c r="P366" s="91">
        <v>0</v>
      </c>
      <c r="Q366" s="91">
        <v>0</v>
      </c>
      <c r="R366" s="91">
        <v>0</v>
      </c>
      <c r="S366" s="91">
        <v>0</v>
      </c>
      <c r="T366" s="91">
        <v>0</v>
      </c>
      <c r="U366" s="91">
        <v>0</v>
      </c>
      <c r="V366" s="202">
        <v>0</v>
      </c>
      <c r="W366" s="91">
        <v>0</v>
      </c>
      <c r="X366" s="91">
        <v>0</v>
      </c>
      <c r="Y366" s="91">
        <v>0</v>
      </c>
      <c r="Z366" s="91">
        <v>0</v>
      </c>
      <c r="AA366" s="91">
        <v>0</v>
      </c>
      <c r="AB366" s="91">
        <v>0</v>
      </c>
      <c r="AC366" s="91">
        <v>0</v>
      </c>
      <c r="AD366" s="91">
        <v>0</v>
      </c>
      <c r="AE366" s="91">
        <v>0</v>
      </c>
      <c r="AF366" s="91">
        <v>0</v>
      </c>
      <c r="AG366" s="91">
        <v>0</v>
      </c>
      <c r="AH366" s="84">
        <v>1</v>
      </c>
      <c r="AI366" s="97">
        <f t="shared" si="5"/>
        <v>0</v>
      </c>
    </row>
    <row r="367" spans="1:35">
      <c r="A367" s="55" t="s">
        <v>532</v>
      </c>
      <c r="B367" s="91">
        <v>0</v>
      </c>
      <c r="C367" s="91">
        <v>0</v>
      </c>
      <c r="D367" s="91">
        <v>679</v>
      </c>
      <c r="E367" s="90">
        <v>717</v>
      </c>
      <c r="F367" s="91">
        <v>259103</v>
      </c>
      <c r="G367" s="91">
        <v>206632</v>
      </c>
      <c r="H367" s="91">
        <v>63971</v>
      </c>
      <c r="I367" s="91">
        <v>2693.7400000000061</v>
      </c>
      <c r="J367" s="91">
        <v>-11500</v>
      </c>
      <c r="K367" s="91">
        <v>279770</v>
      </c>
      <c r="L367" s="91">
        <v>239975</v>
      </c>
      <c r="M367" s="91">
        <v>227085</v>
      </c>
      <c r="N367" s="91">
        <v>297448</v>
      </c>
      <c r="O367" s="91">
        <v>57657</v>
      </c>
      <c r="P367" s="91">
        <v>7717</v>
      </c>
      <c r="Q367" s="91">
        <v>0</v>
      </c>
      <c r="R367" s="91">
        <v>0</v>
      </c>
      <c r="S367" s="91">
        <v>-12903</v>
      </c>
      <c r="T367" s="91">
        <v>0</v>
      </c>
      <c r="U367" s="91">
        <v>0</v>
      </c>
      <c r="V367" s="202">
        <v>0</v>
      </c>
      <c r="W367" s="91">
        <v>-1403</v>
      </c>
      <c r="X367" s="91">
        <v>0</v>
      </c>
      <c r="Y367" s="91">
        <v>11500</v>
      </c>
      <c r="Z367" s="91">
        <v>0</v>
      </c>
      <c r="AA367" s="91">
        <v>0</v>
      </c>
      <c r="AB367" s="91">
        <v>-1403</v>
      </c>
      <c r="AC367" s="91">
        <v>-1403</v>
      </c>
      <c r="AD367" s="91">
        <v>-1403</v>
      </c>
      <c r="AE367" s="91">
        <v>-1403</v>
      </c>
      <c r="AF367" s="91">
        <v>-1403</v>
      </c>
      <c r="AG367" s="91">
        <v>-4485</v>
      </c>
      <c r="AH367" s="84">
        <v>9.1999999999999993</v>
      </c>
      <c r="AI367" s="97">
        <f t="shared" si="5"/>
        <v>52471</v>
      </c>
    </row>
    <row r="368" spans="1:35">
      <c r="A368" s="55" t="s">
        <v>533</v>
      </c>
      <c r="B368" s="91">
        <v>1</v>
      </c>
      <c r="C368" s="91">
        <v>0</v>
      </c>
      <c r="D368" s="91">
        <v>103</v>
      </c>
      <c r="E368" s="90">
        <v>110</v>
      </c>
      <c r="F368" s="91">
        <v>189768</v>
      </c>
      <c r="G368" s="91">
        <v>181426</v>
      </c>
      <c r="H368" s="91">
        <v>20467</v>
      </c>
      <c r="I368" s="91">
        <v>4020.16</v>
      </c>
      <c r="J368" s="91">
        <v>-8678</v>
      </c>
      <c r="K368" s="91">
        <v>205026</v>
      </c>
      <c r="L368" s="91">
        <v>175364</v>
      </c>
      <c r="M368" s="91">
        <v>167238</v>
      </c>
      <c r="N368" s="91">
        <v>216584</v>
      </c>
      <c r="O368" s="91">
        <v>15735</v>
      </c>
      <c r="P368" s="91">
        <v>5707</v>
      </c>
      <c r="Q368" s="91">
        <v>0</v>
      </c>
      <c r="R368" s="91">
        <v>0</v>
      </c>
      <c r="S368" s="91">
        <v>-9653</v>
      </c>
      <c r="T368" s="91">
        <v>3447</v>
      </c>
      <c r="U368" s="91">
        <v>0</v>
      </c>
      <c r="V368" s="202">
        <v>0</v>
      </c>
      <c r="W368" s="91">
        <v>-975</v>
      </c>
      <c r="X368" s="91">
        <v>0</v>
      </c>
      <c r="Y368" s="91">
        <v>8678</v>
      </c>
      <c r="Z368" s="91">
        <v>0</v>
      </c>
      <c r="AA368" s="91">
        <v>0</v>
      </c>
      <c r="AB368" s="91">
        <v>-975</v>
      </c>
      <c r="AC368" s="91">
        <v>-975</v>
      </c>
      <c r="AD368" s="91">
        <v>-975</v>
      </c>
      <c r="AE368" s="91">
        <v>-975</v>
      </c>
      <c r="AF368" s="91">
        <v>-975</v>
      </c>
      <c r="AG368" s="91">
        <v>-3803</v>
      </c>
      <c r="AH368" s="84">
        <v>9.9</v>
      </c>
      <c r="AI368" s="97">
        <f t="shared" si="5"/>
        <v>8342</v>
      </c>
    </row>
    <row r="369" spans="1:35">
      <c r="A369" s="55" t="s">
        <v>534</v>
      </c>
      <c r="B369" s="91">
        <v>0</v>
      </c>
      <c r="C369" s="91">
        <v>0</v>
      </c>
      <c r="D369" s="91">
        <v>0</v>
      </c>
      <c r="E369" s="90">
        <v>0</v>
      </c>
      <c r="F369" s="91">
        <v>0</v>
      </c>
      <c r="G369" s="91">
        <v>0</v>
      </c>
      <c r="H369" s="91">
        <v>0</v>
      </c>
      <c r="I369" s="91">
        <v>0</v>
      </c>
      <c r="J369" s="91">
        <v>0</v>
      </c>
      <c r="K369" s="91">
        <v>0</v>
      </c>
      <c r="L369" s="91">
        <v>0</v>
      </c>
      <c r="M369" s="91">
        <v>0</v>
      </c>
      <c r="N369" s="91">
        <v>0</v>
      </c>
      <c r="O369" s="91">
        <v>0</v>
      </c>
      <c r="P369" s="91">
        <v>0</v>
      </c>
      <c r="Q369" s="91">
        <v>0</v>
      </c>
      <c r="R369" s="91">
        <v>0</v>
      </c>
      <c r="S369" s="91">
        <v>0</v>
      </c>
      <c r="T369" s="91">
        <v>0</v>
      </c>
      <c r="U369" s="91">
        <v>0</v>
      </c>
      <c r="V369" s="202">
        <v>0</v>
      </c>
      <c r="W369" s="91">
        <v>0</v>
      </c>
      <c r="X369" s="91">
        <v>0</v>
      </c>
      <c r="Y369" s="91">
        <v>0</v>
      </c>
      <c r="Z369" s="91">
        <v>0</v>
      </c>
      <c r="AA369" s="91">
        <v>0</v>
      </c>
      <c r="AB369" s="91">
        <v>0</v>
      </c>
      <c r="AC369" s="91">
        <v>0</v>
      </c>
      <c r="AD369" s="91">
        <v>0</v>
      </c>
      <c r="AE369" s="91">
        <v>0</v>
      </c>
      <c r="AF369" s="91">
        <v>0</v>
      </c>
      <c r="AG369" s="91">
        <v>0</v>
      </c>
      <c r="AH369" s="84">
        <v>1</v>
      </c>
      <c r="AI369" s="97">
        <f t="shared" si="5"/>
        <v>0</v>
      </c>
    </row>
    <row r="370" spans="1:35" ht="22.5">
      <c r="A370" s="55" t="s">
        <v>535</v>
      </c>
      <c r="B370" s="91">
        <v>0</v>
      </c>
      <c r="C370" s="91">
        <v>0</v>
      </c>
      <c r="D370" s="91">
        <v>16</v>
      </c>
      <c r="E370" s="90">
        <v>19</v>
      </c>
      <c r="F370" s="91">
        <v>54366</v>
      </c>
      <c r="G370" s="91">
        <v>49512</v>
      </c>
      <c r="H370" s="91">
        <v>7083</v>
      </c>
      <c r="I370" s="91">
        <v>338.40000000000009</v>
      </c>
      <c r="J370" s="91">
        <v>-2229</v>
      </c>
      <c r="K370" s="91">
        <v>58281</v>
      </c>
      <c r="L370" s="91">
        <v>50707</v>
      </c>
      <c r="M370" s="91">
        <v>48508</v>
      </c>
      <c r="N370" s="91">
        <v>61265</v>
      </c>
      <c r="O370" s="91">
        <v>5748</v>
      </c>
      <c r="P370" s="91">
        <v>1614</v>
      </c>
      <c r="Q370" s="91">
        <v>0</v>
      </c>
      <c r="R370" s="91">
        <v>0</v>
      </c>
      <c r="S370" s="91">
        <v>-2508</v>
      </c>
      <c r="T370" s="91">
        <v>0</v>
      </c>
      <c r="U370" s="91">
        <v>0</v>
      </c>
      <c r="V370" s="202">
        <v>0</v>
      </c>
      <c r="W370" s="91">
        <v>-279</v>
      </c>
      <c r="X370" s="91">
        <v>0</v>
      </c>
      <c r="Y370" s="91">
        <v>2229</v>
      </c>
      <c r="Z370" s="91">
        <v>0</v>
      </c>
      <c r="AA370" s="91">
        <v>0</v>
      </c>
      <c r="AB370" s="91">
        <v>-279</v>
      </c>
      <c r="AC370" s="91">
        <v>-279</v>
      </c>
      <c r="AD370" s="91">
        <v>-279</v>
      </c>
      <c r="AE370" s="91">
        <v>-279</v>
      </c>
      <c r="AF370" s="91">
        <v>-279</v>
      </c>
      <c r="AG370" s="91">
        <v>-834</v>
      </c>
      <c r="AH370" s="84">
        <v>9</v>
      </c>
      <c r="AI370" s="97">
        <f t="shared" si="5"/>
        <v>4854</v>
      </c>
    </row>
    <row r="371" spans="1:35">
      <c r="A371" s="55" t="s">
        <v>536</v>
      </c>
      <c r="B371" s="91">
        <v>0</v>
      </c>
      <c r="C371" s="91">
        <v>0</v>
      </c>
      <c r="D371" s="91">
        <v>123</v>
      </c>
      <c r="E371" s="90">
        <v>143</v>
      </c>
      <c r="F371" s="91">
        <v>86814</v>
      </c>
      <c r="G371" s="91">
        <v>79029</v>
      </c>
      <c r="H371" s="91">
        <v>12535</v>
      </c>
      <c r="I371" s="91">
        <v>369.98000000000013</v>
      </c>
      <c r="J371" s="91">
        <v>-4750</v>
      </c>
      <c r="K371" s="91">
        <v>95271</v>
      </c>
      <c r="L371" s="91">
        <v>79081</v>
      </c>
      <c r="M371" s="91">
        <v>74742</v>
      </c>
      <c r="N371" s="91">
        <v>101541</v>
      </c>
      <c r="O371" s="91">
        <v>10578</v>
      </c>
      <c r="P371" s="91">
        <v>2617</v>
      </c>
      <c r="Q371" s="91">
        <v>0</v>
      </c>
      <c r="R371" s="91">
        <v>0</v>
      </c>
      <c r="S371" s="91">
        <v>-5410</v>
      </c>
      <c r="T371" s="91">
        <v>0</v>
      </c>
      <c r="U371" s="91">
        <v>0</v>
      </c>
      <c r="V371" s="202">
        <v>0</v>
      </c>
      <c r="W371" s="91">
        <v>-660</v>
      </c>
      <c r="X371" s="91">
        <v>0</v>
      </c>
      <c r="Y371" s="91">
        <v>4750</v>
      </c>
      <c r="Z371" s="91">
        <v>0</v>
      </c>
      <c r="AA371" s="91">
        <v>0</v>
      </c>
      <c r="AB371" s="91">
        <v>-660</v>
      </c>
      <c r="AC371" s="91">
        <v>-660</v>
      </c>
      <c r="AD371" s="91">
        <v>-660</v>
      </c>
      <c r="AE371" s="91">
        <v>-660</v>
      </c>
      <c r="AF371" s="91">
        <v>-660</v>
      </c>
      <c r="AG371" s="91">
        <v>-1450</v>
      </c>
      <c r="AH371" s="84">
        <v>8.1999999999999993</v>
      </c>
      <c r="AI371" s="97">
        <f t="shared" si="5"/>
        <v>7785</v>
      </c>
    </row>
    <row r="372" spans="1:35">
      <c r="A372" s="55" t="s">
        <v>537</v>
      </c>
      <c r="B372" s="91">
        <v>0</v>
      </c>
      <c r="C372" s="91">
        <v>0</v>
      </c>
      <c r="D372" s="91">
        <v>0</v>
      </c>
      <c r="E372" s="90">
        <v>0</v>
      </c>
      <c r="F372" s="91">
        <v>0</v>
      </c>
      <c r="G372" s="91">
        <v>0</v>
      </c>
      <c r="H372" s="91">
        <v>0</v>
      </c>
      <c r="I372" s="91">
        <v>0</v>
      </c>
      <c r="J372" s="91">
        <v>0</v>
      </c>
      <c r="K372" s="91">
        <v>0</v>
      </c>
      <c r="L372" s="91">
        <v>0</v>
      </c>
      <c r="M372" s="91">
        <v>0</v>
      </c>
      <c r="N372" s="91">
        <v>0</v>
      </c>
      <c r="O372" s="91">
        <v>0</v>
      </c>
      <c r="P372" s="91">
        <v>0</v>
      </c>
      <c r="Q372" s="91">
        <v>0</v>
      </c>
      <c r="R372" s="91">
        <v>0</v>
      </c>
      <c r="S372" s="91">
        <v>0</v>
      </c>
      <c r="T372" s="91">
        <v>0</v>
      </c>
      <c r="U372" s="91">
        <v>0</v>
      </c>
      <c r="V372" s="202">
        <v>0</v>
      </c>
      <c r="W372" s="91">
        <v>0</v>
      </c>
      <c r="X372" s="91">
        <v>0</v>
      </c>
      <c r="Y372" s="91">
        <v>0</v>
      </c>
      <c r="Z372" s="91">
        <v>0</v>
      </c>
      <c r="AA372" s="91">
        <v>0</v>
      </c>
      <c r="AB372" s="91">
        <v>0</v>
      </c>
      <c r="AC372" s="91">
        <v>0</v>
      </c>
      <c r="AD372" s="91">
        <v>0</v>
      </c>
      <c r="AE372" s="91">
        <v>0</v>
      </c>
      <c r="AF372" s="91">
        <v>0</v>
      </c>
      <c r="AG372" s="91">
        <v>0</v>
      </c>
      <c r="AH372" s="84">
        <v>1</v>
      </c>
      <c r="AI372" s="97">
        <f t="shared" si="5"/>
        <v>0</v>
      </c>
    </row>
    <row r="373" spans="1:35">
      <c r="A373" s="55" t="s">
        <v>538</v>
      </c>
      <c r="B373" s="91">
        <v>0</v>
      </c>
      <c r="C373" s="91">
        <v>0</v>
      </c>
      <c r="D373" s="91">
        <v>14</v>
      </c>
      <c r="E373" s="90">
        <v>17</v>
      </c>
      <c r="F373" s="91">
        <v>47701</v>
      </c>
      <c r="G373" s="91">
        <v>43749</v>
      </c>
      <c r="H373" s="91">
        <v>5381</v>
      </c>
      <c r="I373" s="91">
        <v>334.27000000000032</v>
      </c>
      <c r="J373" s="91">
        <v>-1429</v>
      </c>
      <c r="K373" s="91">
        <v>50185</v>
      </c>
      <c r="L373" s="91">
        <v>45147</v>
      </c>
      <c r="M373" s="91">
        <v>43092</v>
      </c>
      <c r="N373" s="91">
        <v>52905</v>
      </c>
      <c r="O373" s="91">
        <v>4154</v>
      </c>
      <c r="P373" s="91">
        <v>1399</v>
      </c>
      <c r="Q373" s="91">
        <v>0</v>
      </c>
      <c r="R373" s="91">
        <v>0</v>
      </c>
      <c r="S373" s="91">
        <v>-1601</v>
      </c>
      <c r="T373" s="91">
        <v>0</v>
      </c>
      <c r="U373" s="91">
        <v>0</v>
      </c>
      <c r="V373" s="202">
        <v>0</v>
      </c>
      <c r="W373" s="91">
        <v>-172</v>
      </c>
      <c r="X373" s="91">
        <v>0</v>
      </c>
      <c r="Y373" s="91">
        <v>1429</v>
      </c>
      <c r="Z373" s="91">
        <v>0</v>
      </c>
      <c r="AA373" s="91">
        <v>0</v>
      </c>
      <c r="AB373" s="91">
        <v>-172</v>
      </c>
      <c r="AC373" s="91">
        <v>-172</v>
      </c>
      <c r="AD373" s="91">
        <v>-172</v>
      </c>
      <c r="AE373" s="91">
        <v>-172</v>
      </c>
      <c r="AF373" s="91">
        <v>-172</v>
      </c>
      <c r="AG373" s="91">
        <v>-569</v>
      </c>
      <c r="AH373" s="84">
        <v>9.3000000000000007</v>
      </c>
      <c r="AI373" s="97">
        <f t="shared" si="5"/>
        <v>3952</v>
      </c>
    </row>
    <row r="374" spans="1:35">
      <c r="A374" s="55" t="s">
        <v>539</v>
      </c>
      <c r="B374" s="91">
        <v>0</v>
      </c>
      <c r="C374" s="91">
        <v>0</v>
      </c>
      <c r="D374" s="91">
        <v>46</v>
      </c>
      <c r="E374" s="90">
        <v>54</v>
      </c>
      <c r="F374" s="91">
        <v>61751</v>
      </c>
      <c r="G374" s="91">
        <v>58295</v>
      </c>
      <c r="H374" s="91">
        <v>6822</v>
      </c>
      <c r="I374" s="91">
        <v>247.35000000000002</v>
      </c>
      <c r="J374" s="91">
        <v>-3366</v>
      </c>
      <c r="K374" s="91">
        <v>67619</v>
      </c>
      <c r="L374" s="91">
        <v>56354</v>
      </c>
      <c r="M374" s="91">
        <v>52958</v>
      </c>
      <c r="N374" s="91">
        <v>72381</v>
      </c>
      <c r="O374" s="91">
        <v>5346</v>
      </c>
      <c r="P374" s="91">
        <v>1858</v>
      </c>
      <c r="Q374" s="91">
        <v>0</v>
      </c>
      <c r="R374" s="91">
        <v>0</v>
      </c>
      <c r="S374" s="91">
        <v>-3748</v>
      </c>
      <c r="T374" s="91">
        <v>0</v>
      </c>
      <c r="U374" s="91">
        <v>0</v>
      </c>
      <c r="V374" s="202">
        <v>0</v>
      </c>
      <c r="W374" s="91">
        <v>-382</v>
      </c>
      <c r="X374" s="91">
        <v>0</v>
      </c>
      <c r="Y374" s="91">
        <v>3366</v>
      </c>
      <c r="Z374" s="91">
        <v>0</v>
      </c>
      <c r="AA374" s="91">
        <v>0</v>
      </c>
      <c r="AB374" s="91">
        <v>-382</v>
      </c>
      <c r="AC374" s="91">
        <v>-382</v>
      </c>
      <c r="AD374" s="91">
        <v>-382</v>
      </c>
      <c r="AE374" s="91">
        <v>-382</v>
      </c>
      <c r="AF374" s="91">
        <v>-382</v>
      </c>
      <c r="AG374" s="91">
        <v>-1456</v>
      </c>
      <c r="AH374" s="84">
        <v>9.8000000000000007</v>
      </c>
      <c r="AI374" s="97">
        <f t="shared" si="5"/>
        <v>3456</v>
      </c>
    </row>
    <row r="375" spans="1:35" ht="22.5">
      <c r="A375" s="55" t="s">
        <v>540</v>
      </c>
      <c r="B375" s="91">
        <v>0</v>
      </c>
      <c r="C375" s="91">
        <v>0</v>
      </c>
      <c r="D375" s="91">
        <v>36</v>
      </c>
      <c r="E375" s="90">
        <v>36</v>
      </c>
      <c r="F375" s="91">
        <v>46978</v>
      </c>
      <c r="G375" s="91">
        <v>40640</v>
      </c>
      <c r="H375" s="91">
        <v>8274</v>
      </c>
      <c r="I375" s="91">
        <v>547.12999999999988</v>
      </c>
      <c r="J375" s="91">
        <v>-1936</v>
      </c>
      <c r="K375" s="91">
        <v>50467</v>
      </c>
      <c r="L375" s="91">
        <v>43751</v>
      </c>
      <c r="M375" s="91">
        <v>41179</v>
      </c>
      <c r="N375" s="91">
        <v>53798</v>
      </c>
      <c r="O375" s="91">
        <v>7118</v>
      </c>
      <c r="P375" s="91">
        <v>1395</v>
      </c>
      <c r="Q375" s="91">
        <v>0</v>
      </c>
      <c r="R375" s="91">
        <v>0</v>
      </c>
      <c r="S375" s="91">
        <v>-2175</v>
      </c>
      <c r="T375" s="91">
        <v>0</v>
      </c>
      <c r="U375" s="91">
        <v>0</v>
      </c>
      <c r="V375" s="202">
        <v>0</v>
      </c>
      <c r="W375" s="91">
        <v>-239</v>
      </c>
      <c r="X375" s="91">
        <v>0</v>
      </c>
      <c r="Y375" s="91">
        <v>1936</v>
      </c>
      <c r="Z375" s="91">
        <v>0</v>
      </c>
      <c r="AA375" s="91">
        <v>0</v>
      </c>
      <c r="AB375" s="91">
        <v>-239</v>
      </c>
      <c r="AC375" s="91">
        <v>-239</v>
      </c>
      <c r="AD375" s="91">
        <v>-239</v>
      </c>
      <c r="AE375" s="91">
        <v>-239</v>
      </c>
      <c r="AF375" s="91">
        <v>-239</v>
      </c>
      <c r="AG375" s="91">
        <v>-741</v>
      </c>
      <c r="AH375" s="84">
        <v>9.1</v>
      </c>
      <c r="AI375" s="97">
        <f t="shared" si="5"/>
        <v>6338</v>
      </c>
    </row>
    <row r="376" spans="1:35">
      <c r="A376" s="55" t="s">
        <v>541</v>
      </c>
      <c r="B376" s="91">
        <v>0</v>
      </c>
      <c r="C376" s="91">
        <v>0</v>
      </c>
      <c r="D376" s="91">
        <v>48</v>
      </c>
      <c r="E376" s="90">
        <v>49</v>
      </c>
      <c r="F376" s="91">
        <v>66247</v>
      </c>
      <c r="G376" s="91">
        <v>61129</v>
      </c>
      <c r="H376" s="91">
        <v>9490</v>
      </c>
      <c r="I376" s="91">
        <v>67.059999999999945</v>
      </c>
      <c r="J376" s="91">
        <v>-4372</v>
      </c>
      <c r="K376" s="91">
        <v>73888</v>
      </c>
      <c r="L376" s="91">
        <v>59393</v>
      </c>
      <c r="M376" s="91">
        <v>55748</v>
      </c>
      <c r="N376" s="91">
        <v>79304</v>
      </c>
      <c r="O376" s="91">
        <v>7933</v>
      </c>
      <c r="P376" s="91">
        <v>2017</v>
      </c>
      <c r="Q376" s="91">
        <v>0</v>
      </c>
      <c r="R376" s="91">
        <v>0</v>
      </c>
      <c r="S376" s="91">
        <v>-4832</v>
      </c>
      <c r="T376" s="91">
        <v>0</v>
      </c>
      <c r="U376" s="91">
        <v>0</v>
      </c>
      <c r="V376" s="202">
        <v>0</v>
      </c>
      <c r="W376" s="91">
        <v>-460</v>
      </c>
      <c r="X376" s="91">
        <v>0</v>
      </c>
      <c r="Y376" s="91">
        <v>4372</v>
      </c>
      <c r="Z376" s="91">
        <v>0</v>
      </c>
      <c r="AA376" s="91">
        <v>0</v>
      </c>
      <c r="AB376" s="91">
        <v>-460</v>
      </c>
      <c r="AC376" s="91">
        <v>-460</v>
      </c>
      <c r="AD376" s="91">
        <v>-460</v>
      </c>
      <c r="AE376" s="91">
        <v>-460</v>
      </c>
      <c r="AF376" s="91">
        <v>-460</v>
      </c>
      <c r="AG376" s="91">
        <v>-2072</v>
      </c>
      <c r="AH376" s="84">
        <v>10.5</v>
      </c>
      <c r="AI376" s="97">
        <f t="shared" si="5"/>
        <v>5118</v>
      </c>
    </row>
    <row r="377" spans="1:35" ht="22.5">
      <c r="A377" s="55" t="s">
        <v>542</v>
      </c>
      <c r="B377" s="91">
        <v>0</v>
      </c>
      <c r="C377" s="91">
        <v>0</v>
      </c>
      <c r="D377" s="91">
        <v>131</v>
      </c>
      <c r="E377" s="90">
        <v>139</v>
      </c>
      <c r="F377" s="91">
        <v>76001</v>
      </c>
      <c r="G377" s="91">
        <v>65390</v>
      </c>
      <c r="H377" s="91">
        <v>15331</v>
      </c>
      <c r="I377" s="91">
        <v>299.05000000000018</v>
      </c>
      <c r="J377" s="91">
        <v>-4720</v>
      </c>
      <c r="K377" s="91">
        <v>84228</v>
      </c>
      <c r="L377" s="91">
        <v>68191</v>
      </c>
      <c r="M377" s="91">
        <v>63942</v>
      </c>
      <c r="N377" s="91">
        <v>90555</v>
      </c>
      <c r="O377" s="91">
        <v>13574</v>
      </c>
      <c r="P377" s="91">
        <v>2306</v>
      </c>
      <c r="Q377" s="91">
        <v>0</v>
      </c>
      <c r="R377" s="91">
        <v>0</v>
      </c>
      <c r="S377" s="91">
        <v>-5269</v>
      </c>
      <c r="T377" s="91">
        <v>0</v>
      </c>
      <c r="U377" s="91">
        <v>0</v>
      </c>
      <c r="V377" s="202">
        <v>0</v>
      </c>
      <c r="W377" s="91">
        <v>-549</v>
      </c>
      <c r="X377" s="91">
        <v>0</v>
      </c>
      <c r="Y377" s="91">
        <v>4720</v>
      </c>
      <c r="Z377" s="91">
        <v>0</v>
      </c>
      <c r="AA377" s="91">
        <v>0</v>
      </c>
      <c r="AB377" s="91">
        <v>-549</v>
      </c>
      <c r="AC377" s="91">
        <v>-549</v>
      </c>
      <c r="AD377" s="91">
        <v>-549</v>
      </c>
      <c r="AE377" s="91">
        <v>-549</v>
      </c>
      <c r="AF377" s="91">
        <v>-549</v>
      </c>
      <c r="AG377" s="91">
        <v>-1975</v>
      </c>
      <c r="AH377" s="84">
        <v>9.6</v>
      </c>
      <c r="AI377" s="97">
        <f t="shared" si="5"/>
        <v>10611</v>
      </c>
    </row>
    <row r="378" spans="1:35">
      <c r="A378" s="55" t="s">
        <v>543</v>
      </c>
      <c r="B378" s="91">
        <v>0</v>
      </c>
      <c r="C378" s="91">
        <v>0</v>
      </c>
      <c r="D378" s="91">
        <v>111</v>
      </c>
      <c r="E378" s="90">
        <v>120</v>
      </c>
      <c r="F378" s="91">
        <v>112720</v>
      </c>
      <c r="G378" s="91">
        <v>100800</v>
      </c>
      <c r="H378" s="91">
        <v>16392</v>
      </c>
      <c r="I378" s="91">
        <v>641.5</v>
      </c>
      <c r="J378" s="91">
        <v>-4472</v>
      </c>
      <c r="K378" s="91">
        <v>120545</v>
      </c>
      <c r="L378" s="91">
        <v>105197</v>
      </c>
      <c r="M378" s="91">
        <v>99972</v>
      </c>
      <c r="N378" s="91">
        <v>127538</v>
      </c>
      <c r="O378" s="91">
        <v>13632</v>
      </c>
      <c r="P378" s="91">
        <v>3341</v>
      </c>
      <c r="Q378" s="91">
        <v>0</v>
      </c>
      <c r="R378" s="91">
        <v>0</v>
      </c>
      <c r="S378" s="91">
        <v>-5053</v>
      </c>
      <c r="T378" s="91">
        <v>0</v>
      </c>
      <c r="U378" s="91">
        <v>0</v>
      </c>
      <c r="V378" s="202">
        <v>0</v>
      </c>
      <c r="W378" s="91">
        <v>-581</v>
      </c>
      <c r="X378" s="91">
        <v>0</v>
      </c>
      <c r="Y378" s="91">
        <v>4472</v>
      </c>
      <c r="Z378" s="91">
        <v>0</v>
      </c>
      <c r="AA378" s="91">
        <v>0</v>
      </c>
      <c r="AB378" s="91">
        <v>-581</v>
      </c>
      <c r="AC378" s="91">
        <v>-581</v>
      </c>
      <c r="AD378" s="91">
        <v>-581</v>
      </c>
      <c r="AE378" s="91">
        <v>-581</v>
      </c>
      <c r="AF378" s="91">
        <v>-581</v>
      </c>
      <c r="AG378" s="91">
        <v>-1567</v>
      </c>
      <c r="AH378" s="84">
        <v>8.6999999999999993</v>
      </c>
      <c r="AI378" s="97">
        <f t="shared" si="5"/>
        <v>11920</v>
      </c>
    </row>
    <row r="379" spans="1:35">
      <c r="A379" s="55" t="s">
        <v>544</v>
      </c>
      <c r="B379" s="91">
        <v>0</v>
      </c>
      <c r="C379" s="91">
        <v>0</v>
      </c>
      <c r="D379" s="91">
        <v>18</v>
      </c>
      <c r="E379" s="90">
        <v>18</v>
      </c>
      <c r="F379" s="91">
        <v>13112</v>
      </c>
      <c r="G379" s="91">
        <v>10937</v>
      </c>
      <c r="H379" s="91">
        <v>2930</v>
      </c>
      <c r="I379" s="91">
        <v>0</v>
      </c>
      <c r="J379" s="91">
        <v>-755</v>
      </c>
      <c r="K379" s="91">
        <v>14423</v>
      </c>
      <c r="L379" s="91">
        <v>11916</v>
      </c>
      <c r="M379" s="91">
        <v>11293</v>
      </c>
      <c r="N379" s="91">
        <v>15350</v>
      </c>
      <c r="O379" s="91">
        <v>2623</v>
      </c>
      <c r="P379" s="91">
        <v>396</v>
      </c>
      <c r="Q379" s="91">
        <v>0</v>
      </c>
      <c r="R379" s="91">
        <v>0</v>
      </c>
      <c r="S379" s="91">
        <v>-844</v>
      </c>
      <c r="T379" s="91">
        <v>0</v>
      </c>
      <c r="U379" s="91">
        <v>0</v>
      </c>
      <c r="V379" s="202">
        <v>0</v>
      </c>
      <c r="W379" s="91">
        <v>-89</v>
      </c>
      <c r="X379" s="91">
        <v>0</v>
      </c>
      <c r="Y379" s="91">
        <v>755</v>
      </c>
      <c r="Z379" s="91">
        <v>0</v>
      </c>
      <c r="AA379" s="91">
        <v>0</v>
      </c>
      <c r="AB379" s="91">
        <v>-89</v>
      </c>
      <c r="AC379" s="91">
        <v>-89</v>
      </c>
      <c r="AD379" s="91">
        <v>-89</v>
      </c>
      <c r="AE379" s="91">
        <v>-89</v>
      </c>
      <c r="AF379" s="91">
        <v>-89</v>
      </c>
      <c r="AG379" s="91">
        <v>-310</v>
      </c>
      <c r="AH379" s="84">
        <v>9.5</v>
      </c>
      <c r="AI379" s="97">
        <f t="shared" si="5"/>
        <v>2175</v>
      </c>
    </row>
    <row r="380" spans="1:35">
      <c r="A380" s="55" t="s">
        <v>545</v>
      </c>
      <c r="B380" s="91">
        <v>0</v>
      </c>
      <c r="C380" s="91">
        <v>0</v>
      </c>
      <c r="D380" s="91">
        <v>0</v>
      </c>
      <c r="E380" s="90">
        <v>0</v>
      </c>
      <c r="F380" s="91">
        <v>0</v>
      </c>
      <c r="G380" s="91">
        <v>0</v>
      </c>
      <c r="H380" s="91">
        <v>0</v>
      </c>
      <c r="I380" s="91">
        <v>0</v>
      </c>
      <c r="J380" s="91">
        <v>0</v>
      </c>
      <c r="K380" s="91">
        <v>0</v>
      </c>
      <c r="L380" s="91">
        <v>0</v>
      </c>
      <c r="M380" s="91">
        <v>0</v>
      </c>
      <c r="N380" s="91">
        <v>0</v>
      </c>
      <c r="O380" s="91">
        <v>0</v>
      </c>
      <c r="P380" s="91">
        <v>0</v>
      </c>
      <c r="Q380" s="91">
        <v>0</v>
      </c>
      <c r="R380" s="91">
        <v>0</v>
      </c>
      <c r="S380" s="91">
        <v>0</v>
      </c>
      <c r="T380" s="91">
        <v>0</v>
      </c>
      <c r="U380" s="91">
        <v>0</v>
      </c>
      <c r="V380" s="202">
        <v>0</v>
      </c>
      <c r="W380" s="91">
        <v>0</v>
      </c>
      <c r="X380" s="91">
        <v>0</v>
      </c>
      <c r="Y380" s="91">
        <v>0</v>
      </c>
      <c r="Z380" s="91">
        <v>0</v>
      </c>
      <c r="AA380" s="91">
        <v>0</v>
      </c>
      <c r="AB380" s="91">
        <v>0</v>
      </c>
      <c r="AC380" s="91">
        <v>0</v>
      </c>
      <c r="AD380" s="91">
        <v>0</v>
      </c>
      <c r="AE380" s="91">
        <v>0</v>
      </c>
      <c r="AF380" s="91">
        <v>0</v>
      </c>
      <c r="AG380" s="91">
        <v>0</v>
      </c>
      <c r="AH380" s="84">
        <v>1</v>
      </c>
      <c r="AI380" s="97">
        <f t="shared" si="5"/>
        <v>0</v>
      </c>
    </row>
    <row r="381" spans="1:35">
      <c r="A381" s="55" t="s">
        <v>546</v>
      </c>
      <c r="B381" s="91">
        <v>0</v>
      </c>
      <c r="C381" s="91">
        <v>0</v>
      </c>
      <c r="D381" s="91">
        <v>35</v>
      </c>
      <c r="E381" s="90">
        <v>37</v>
      </c>
      <c r="F381" s="91">
        <v>27435</v>
      </c>
      <c r="G381" s="91">
        <v>22795</v>
      </c>
      <c r="H381" s="91">
        <v>6220</v>
      </c>
      <c r="I381" s="91">
        <v>73.500000000000057</v>
      </c>
      <c r="J381" s="91">
        <v>-1580</v>
      </c>
      <c r="K381" s="91">
        <v>30024</v>
      </c>
      <c r="L381" s="91">
        <v>25021</v>
      </c>
      <c r="M381" s="91">
        <v>23478</v>
      </c>
      <c r="N381" s="91">
        <v>32257</v>
      </c>
      <c r="O381" s="91">
        <v>5552</v>
      </c>
      <c r="P381" s="91">
        <v>828</v>
      </c>
      <c r="Q381" s="91">
        <v>0</v>
      </c>
      <c r="R381" s="91">
        <v>0</v>
      </c>
      <c r="S381" s="91">
        <v>-1740</v>
      </c>
      <c r="T381" s="91">
        <v>0</v>
      </c>
      <c r="U381" s="91">
        <v>0</v>
      </c>
      <c r="V381" s="202">
        <v>0</v>
      </c>
      <c r="W381" s="91">
        <v>-160</v>
      </c>
      <c r="X381" s="91">
        <v>0</v>
      </c>
      <c r="Y381" s="91">
        <v>1580</v>
      </c>
      <c r="Z381" s="91">
        <v>0</v>
      </c>
      <c r="AA381" s="91">
        <v>0</v>
      </c>
      <c r="AB381" s="91">
        <v>-160</v>
      </c>
      <c r="AC381" s="91">
        <v>-160</v>
      </c>
      <c r="AD381" s="91">
        <v>-160</v>
      </c>
      <c r="AE381" s="91">
        <v>-160</v>
      </c>
      <c r="AF381" s="91">
        <v>-160</v>
      </c>
      <c r="AG381" s="91">
        <v>-780</v>
      </c>
      <c r="AH381" s="84">
        <v>10.9</v>
      </c>
      <c r="AI381" s="97">
        <f t="shared" si="5"/>
        <v>4640</v>
      </c>
    </row>
    <row r="382" spans="1:35">
      <c r="A382" s="55" t="s">
        <v>547</v>
      </c>
      <c r="B382" s="91">
        <v>0</v>
      </c>
      <c r="C382" s="91">
        <v>0</v>
      </c>
      <c r="D382" s="91">
        <v>0</v>
      </c>
      <c r="E382" s="90">
        <v>0</v>
      </c>
      <c r="F382" s="91">
        <v>0</v>
      </c>
      <c r="G382" s="91">
        <v>0</v>
      </c>
      <c r="H382" s="91">
        <v>0</v>
      </c>
      <c r="I382" s="91">
        <v>0</v>
      </c>
      <c r="J382" s="91">
        <v>0</v>
      </c>
      <c r="K382" s="91">
        <v>0</v>
      </c>
      <c r="L382" s="91">
        <v>0</v>
      </c>
      <c r="M382" s="91">
        <v>0</v>
      </c>
      <c r="N382" s="91">
        <v>0</v>
      </c>
      <c r="O382" s="91">
        <v>0</v>
      </c>
      <c r="P382" s="91">
        <v>0</v>
      </c>
      <c r="Q382" s="91">
        <v>0</v>
      </c>
      <c r="R382" s="91">
        <v>0</v>
      </c>
      <c r="S382" s="91">
        <v>0</v>
      </c>
      <c r="T382" s="91">
        <v>0</v>
      </c>
      <c r="U382" s="91">
        <v>0</v>
      </c>
      <c r="V382" s="202">
        <v>0</v>
      </c>
      <c r="W382" s="91">
        <v>0</v>
      </c>
      <c r="X382" s="91">
        <v>0</v>
      </c>
      <c r="Y382" s="91">
        <v>0</v>
      </c>
      <c r="Z382" s="91">
        <v>0</v>
      </c>
      <c r="AA382" s="91">
        <v>0</v>
      </c>
      <c r="AB382" s="91">
        <v>0</v>
      </c>
      <c r="AC382" s="91">
        <v>0</v>
      </c>
      <c r="AD382" s="91">
        <v>0</v>
      </c>
      <c r="AE382" s="91">
        <v>0</v>
      </c>
      <c r="AF382" s="91">
        <v>0</v>
      </c>
      <c r="AG382" s="91">
        <v>0</v>
      </c>
      <c r="AH382" s="84">
        <v>1</v>
      </c>
      <c r="AI382" s="97">
        <f t="shared" si="5"/>
        <v>0</v>
      </c>
    </row>
    <row r="383" spans="1:35">
      <c r="A383" s="55" t="s">
        <v>548</v>
      </c>
      <c r="B383" s="91">
        <v>0</v>
      </c>
      <c r="C383" s="91">
        <v>0</v>
      </c>
      <c r="D383" s="91">
        <v>2</v>
      </c>
      <c r="E383" s="90">
        <v>2</v>
      </c>
      <c r="F383" s="91">
        <v>7401</v>
      </c>
      <c r="G383" s="91">
        <v>6845</v>
      </c>
      <c r="H383" s="91">
        <v>641</v>
      </c>
      <c r="I383" s="91">
        <v>29.340000000000003</v>
      </c>
      <c r="J383" s="91">
        <v>-85</v>
      </c>
      <c r="K383" s="91">
        <v>7550</v>
      </c>
      <c r="L383" s="91">
        <v>7185</v>
      </c>
      <c r="M383" s="91">
        <v>6867</v>
      </c>
      <c r="N383" s="91">
        <v>7971</v>
      </c>
      <c r="O383" s="91">
        <v>446</v>
      </c>
      <c r="P383" s="91">
        <v>213</v>
      </c>
      <c r="Q383" s="91">
        <v>0</v>
      </c>
      <c r="R383" s="91">
        <v>0</v>
      </c>
      <c r="S383" s="91">
        <v>-103</v>
      </c>
      <c r="T383" s="91">
        <v>0</v>
      </c>
      <c r="U383" s="91">
        <v>0</v>
      </c>
      <c r="V383" s="202">
        <v>0</v>
      </c>
      <c r="W383" s="91">
        <v>-18</v>
      </c>
      <c r="X383" s="91">
        <v>0</v>
      </c>
      <c r="Y383" s="91">
        <v>85</v>
      </c>
      <c r="Z383" s="91">
        <v>0</v>
      </c>
      <c r="AA383" s="91">
        <v>0</v>
      </c>
      <c r="AB383" s="91">
        <v>-18</v>
      </c>
      <c r="AC383" s="91">
        <v>-18</v>
      </c>
      <c r="AD383" s="91">
        <v>-18</v>
      </c>
      <c r="AE383" s="91">
        <v>-18</v>
      </c>
      <c r="AF383" s="91">
        <v>-13</v>
      </c>
      <c r="AG383" s="91">
        <v>0</v>
      </c>
      <c r="AH383" s="84">
        <v>5.7</v>
      </c>
      <c r="AI383" s="97">
        <f t="shared" si="5"/>
        <v>556</v>
      </c>
    </row>
    <row r="384" spans="1:35">
      <c r="A384" s="55" t="s">
        <v>549</v>
      </c>
      <c r="B384" s="91">
        <v>0</v>
      </c>
      <c r="C384" s="91">
        <v>0</v>
      </c>
      <c r="D384" s="91">
        <v>14</v>
      </c>
      <c r="E384" s="90">
        <v>14</v>
      </c>
      <c r="F384" s="91">
        <v>16700</v>
      </c>
      <c r="G384" s="91">
        <v>14152</v>
      </c>
      <c r="H384" s="91">
        <v>3251</v>
      </c>
      <c r="I384" s="91">
        <v>96.460000000000093</v>
      </c>
      <c r="J384" s="91">
        <v>-703</v>
      </c>
      <c r="K384" s="91">
        <v>17926</v>
      </c>
      <c r="L384" s="91">
        <v>15540</v>
      </c>
      <c r="M384" s="91">
        <v>14740</v>
      </c>
      <c r="N384" s="91">
        <v>19068</v>
      </c>
      <c r="O384" s="91">
        <v>2849</v>
      </c>
      <c r="P384" s="91">
        <v>496</v>
      </c>
      <c r="Q384" s="91">
        <v>0</v>
      </c>
      <c r="R384" s="91">
        <v>0</v>
      </c>
      <c r="S384" s="91">
        <v>-797</v>
      </c>
      <c r="T384" s="91">
        <v>0</v>
      </c>
      <c r="U384" s="91">
        <v>0</v>
      </c>
      <c r="V384" s="202">
        <v>0</v>
      </c>
      <c r="W384" s="91">
        <v>-94</v>
      </c>
      <c r="X384" s="91">
        <v>0</v>
      </c>
      <c r="Y384" s="91">
        <v>703</v>
      </c>
      <c r="Z384" s="91">
        <v>0</v>
      </c>
      <c r="AA384" s="91">
        <v>0</v>
      </c>
      <c r="AB384" s="91">
        <v>-94</v>
      </c>
      <c r="AC384" s="91">
        <v>-94</v>
      </c>
      <c r="AD384" s="91">
        <v>-94</v>
      </c>
      <c r="AE384" s="91">
        <v>-94</v>
      </c>
      <c r="AF384" s="91">
        <v>-94</v>
      </c>
      <c r="AG384" s="91">
        <v>-233</v>
      </c>
      <c r="AH384" s="84">
        <v>8.5</v>
      </c>
      <c r="AI384" s="97">
        <f t="shared" si="5"/>
        <v>2548</v>
      </c>
    </row>
    <row r="385" spans="1:35">
      <c r="A385" s="55" t="s">
        <v>550</v>
      </c>
      <c r="B385" s="91">
        <v>2</v>
      </c>
      <c r="C385" s="91">
        <v>0</v>
      </c>
      <c r="D385" s="91">
        <v>130</v>
      </c>
      <c r="E385" s="90">
        <v>146</v>
      </c>
      <c r="F385" s="91">
        <v>412679</v>
      </c>
      <c r="G385" s="91">
        <v>395332</v>
      </c>
      <c r="H385" s="91">
        <v>41509</v>
      </c>
      <c r="I385" s="91">
        <v>10696.069999999992</v>
      </c>
      <c r="J385" s="91">
        <v>-16631</v>
      </c>
      <c r="K385" s="91">
        <v>441882</v>
      </c>
      <c r="L385" s="91">
        <v>385112</v>
      </c>
      <c r="M385" s="91">
        <v>369091</v>
      </c>
      <c r="N385" s="91">
        <v>464399</v>
      </c>
      <c r="O385" s="91">
        <v>31169</v>
      </c>
      <c r="P385" s="91">
        <v>12344</v>
      </c>
      <c r="Q385" s="91">
        <v>0</v>
      </c>
      <c r="R385" s="91">
        <v>0</v>
      </c>
      <c r="S385" s="91">
        <v>-18635</v>
      </c>
      <c r="T385" s="91">
        <v>7531</v>
      </c>
      <c r="U385" s="91">
        <v>0</v>
      </c>
      <c r="V385" s="202">
        <v>0</v>
      </c>
      <c r="W385" s="91">
        <v>-2004</v>
      </c>
      <c r="X385" s="91">
        <v>0</v>
      </c>
      <c r="Y385" s="91">
        <v>16631</v>
      </c>
      <c r="Z385" s="91">
        <v>0</v>
      </c>
      <c r="AA385" s="91">
        <v>0</v>
      </c>
      <c r="AB385" s="91">
        <v>-2004</v>
      </c>
      <c r="AC385" s="91">
        <v>-2004</v>
      </c>
      <c r="AD385" s="91">
        <v>-2004</v>
      </c>
      <c r="AE385" s="91">
        <v>-2004</v>
      </c>
      <c r="AF385" s="91">
        <v>-2004</v>
      </c>
      <c r="AG385" s="91">
        <v>-6611</v>
      </c>
      <c r="AH385" s="84">
        <v>9.3000000000000007</v>
      </c>
      <c r="AI385" s="97">
        <f t="shared" si="5"/>
        <v>17347</v>
      </c>
    </row>
    <row r="386" spans="1:35">
      <c r="A386" s="55" t="s">
        <v>551</v>
      </c>
      <c r="B386" s="91">
        <v>1</v>
      </c>
      <c r="C386" s="91">
        <v>0</v>
      </c>
      <c r="D386" s="91">
        <v>149</v>
      </c>
      <c r="E386" s="90">
        <v>154</v>
      </c>
      <c r="F386" s="91">
        <v>264049</v>
      </c>
      <c r="G386" s="91">
        <v>251995</v>
      </c>
      <c r="H386" s="91">
        <v>30737</v>
      </c>
      <c r="I386" s="91">
        <v>5584.4999999999982</v>
      </c>
      <c r="J386" s="91">
        <v>-13758</v>
      </c>
      <c r="K386" s="91">
        <v>288535</v>
      </c>
      <c r="L386" s="91">
        <v>241433</v>
      </c>
      <c r="M386" s="91">
        <v>229055</v>
      </c>
      <c r="N386" s="91">
        <v>305825</v>
      </c>
      <c r="O386" s="91">
        <v>24416</v>
      </c>
      <c r="P386" s="91">
        <v>7999</v>
      </c>
      <c r="Q386" s="91">
        <v>0</v>
      </c>
      <c r="R386" s="91">
        <v>0</v>
      </c>
      <c r="S386" s="91">
        <v>-15436</v>
      </c>
      <c r="T386" s="91">
        <v>4925</v>
      </c>
      <c r="U386" s="91">
        <v>0</v>
      </c>
      <c r="V386" s="202">
        <v>0</v>
      </c>
      <c r="W386" s="91">
        <v>-1678</v>
      </c>
      <c r="X386" s="91">
        <v>0</v>
      </c>
      <c r="Y386" s="91">
        <v>13758</v>
      </c>
      <c r="Z386" s="91">
        <v>0</v>
      </c>
      <c r="AA386" s="91">
        <v>0</v>
      </c>
      <c r="AB386" s="91">
        <v>-1678</v>
      </c>
      <c r="AC386" s="91">
        <v>-1678</v>
      </c>
      <c r="AD386" s="91">
        <v>-1678</v>
      </c>
      <c r="AE386" s="91">
        <v>-1678</v>
      </c>
      <c r="AF386" s="91">
        <v>-1678</v>
      </c>
      <c r="AG386" s="91">
        <v>-5368</v>
      </c>
      <c r="AH386" s="84">
        <v>9.1999999999999993</v>
      </c>
      <c r="AI386" s="97">
        <f t="shared" si="5"/>
        <v>12054</v>
      </c>
    </row>
    <row r="387" spans="1:35">
      <c r="A387" s="55" t="s">
        <v>552</v>
      </c>
      <c r="B387" s="91">
        <v>1</v>
      </c>
      <c r="C387" s="91">
        <v>0</v>
      </c>
      <c r="D387" s="91">
        <v>3</v>
      </c>
      <c r="E387" s="90">
        <v>3</v>
      </c>
      <c r="F387" s="91">
        <v>32380</v>
      </c>
      <c r="G387" s="91">
        <v>33935</v>
      </c>
      <c r="H387" s="91">
        <v>1730</v>
      </c>
      <c r="I387" s="91">
        <v>2018.3200000000006</v>
      </c>
      <c r="J387" s="91">
        <v>-1263</v>
      </c>
      <c r="K387" s="91">
        <v>34632</v>
      </c>
      <c r="L387" s="91">
        <v>30358</v>
      </c>
      <c r="M387" s="91">
        <v>30025</v>
      </c>
      <c r="N387" s="91">
        <v>35146</v>
      </c>
      <c r="O387" s="91">
        <v>906</v>
      </c>
      <c r="P387" s="91">
        <v>988</v>
      </c>
      <c r="Q387" s="91">
        <v>0</v>
      </c>
      <c r="R387" s="91">
        <v>0</v>
      </c>
      <c r="S387" s="91">
        <v>-1427</v>
      </c>
      <c r="T387" s="91">
        <v>2022</v>
      </c>
      <c r="U387" s="91">
        <v>0</v>
      </c>
      <c r="V387" s="202">
        <v>0</v>
      </c>
      <c r="W387" s="91">
        <v>-164</v>
      </c>
      <c r="X387" s="91">
        <v>0</v>
      </c>
      <c r="Y387" s="91">
        <v>1263</v>
      </c>
      <c r="Z387" s="91">
        <v>0</v>
      </c>
      <c r="AA387" s="91">
        <v>0</v>
      </c>
      <c r="AB387" s="91">
        <v>-164</v>
      </c>
      <c r="AC387" s="91">
        <v>-164</v>
      </c>
      <c r="AD387" s="91">
        <v>-164</v>
      </c>
      <c r="AE387" s="91">
        <v>-164</v>
      </c>
      <c r="AF387" s="91">
        <v>-164</v>
      </c>
      <c r="AG387" s="91">
        <v>-443</v>
      </c>
      <c r="AH387" s="84">
        <v>8.6999999999999993</v>
      </c>
      <c r="AI387" s="97">
        <f t="shared" si="5"/>
        <v>-1555</v>
      </c>
    </row>
    <row r="388" spans="1:35">
      <c r="A388" s="55" t="s">
        <v>553</v>
      </c>
      <c r="B388" s="91">
        <v>0</v>
      </c>
      <c r="C388" s="91">
        <v>0</v>
      </c>
      <c r="D388" s="91">
        <v>0</v>
      </c>
      <c r="E388" s="90">
        <v>0</v>
      </c>
      <c r="F388" s="91">
        <v>0</v>
      </c>
      <c r="G388" s="91">
        <v>0</v>
      </c>
      <c r="H388" s="91">
        <v>0</v>
      </c>
      <c r="I388" s="91">
        <v>0</v>
      </c>
      <c r="J388" s="91">
        <v>0</v>
      </c>
      <c r="K388" s="91">
        <v>0</v>
      </c>
      <c r="L388" s="91">
        <v>0</v>
      </c>
      <c r="M388" s="91">
        <v>0</v>
      </c>
      <c r="N388" s="91">
        <v>0</v>
      </c>
      <c r="O388" s="91">
        <v>0</v>
      </c>
      <c r="P388" s="91">
        <v>0</v>
      </c>
      <c r="Q388" s="91">
        <v>0</v>
      </c>
      <c r="R388" s="91">
        <v>0</v>
      </c>
      <c r="S388" s="91">
        <v>0</v>
      </c>
      <c r="T388" s="91">
        <v>0</v>
      </c>
      <c r="U388" s="91">
        <v>0</v>
      </c>
      <c r="V388" s="202">
        <v>0</v>
      </c>
      <c r="W388" s="91">
        <v>0</v>
      </c>
      <c r="X388" s="91">
        <v>0</v>
      </c>
      <c r="Y388" s="91">
        <v>0</v>
      </c>
      <c r="Z388" s="91">
        <v>0</v>
      </c>
      <c r="AA388" s="91">
        <v>0</v>
      </c>
      <c r="AB388" s="91">
        <v>0</v>
      </c>
      <c r="AC388" s="91">
        <v>0</v>
      </c>
      <c r="AD388" s="91">
        <v>0</v>
      </c>
      <c r="AE388" s="91">
        <v>0</v>
      </c>
      <c r="AF388" s="91">
        <v>0</v>
      </c>
      <c r="AG388" s="91">
        <v>0</v>
      </c>
      <c r="AH388" s="84">
        <v>1</v>
      </c>
      <c r="AI388" s="97">
        <f t="shared" si="5"/>
        <v>0</v>
      </c>
    </row>
    <row r="389" spans="1:35">
      <c r="A389" s="55" t="s">
        <v>554</v>
      </c>
      <c r="B389" s="91">
        <v>0</v>
      </c>
      <c r="C389" s="91">
        <v>0</v>
      </c>
      <c r="D389" s="91">
        <v>14</v>
      </c>
      <c r="E389" s="90">
        <v>16</v>
      </c>
      <c r="F389" s="91">
        <v>31685</v>
      </c>
      <c r="G389" s="91">
        <v>30007</v>
      </c>
      <c r="H389" s="91">
        <v>3370</v>
      </c>
      <c r="I389" s="91">
        <v>215.65000000000009</v>
      </c>
      <c r="J389" s="91">
        <v>-1692</v>
      </c>
      <c r="K389" s="91">
        <v>34664</v>
      </c>
      <c r="L389" s="91">
        <v>28908</v>
      </c>
      <c r="M389" s="91">
        <v>27370</v>
      </c>
      <c r="N389" s="91">
        <v>36955</v>
      </c>
      <c r="O389" s="91">
        <v>2594</v>
      </c>
      <c r="P389" s="91">
        <v>952</v>
      </c>
      <c r="Q389" s="91">
        <v>0</v>
      </c>
      <c r="R389" s="91">
        <v>0</v>
      </c>
      <c r="S389" s="91">
        <v>-1868</v>
      </c>
      <c r="T389" s="91">
        <v>0</v>
      </c>
      <c r="U389" s="91">
        <v>0</v>
      </c>
      <c r="V389" s="202">
        <v>0</v>
      </c>
      <c r="W389" s="91">
        <v>-176</v>
      </c>
      <c r="X389" s="91">
        <v>0</v>
      </c>
      <c r="Y389" s="91">
        <v>1692</v>
      </c>
      <c r="Z389" s="91">
        <v>0</v>
      </c>
      <c r="AA389" s="91">
        <v>0</v>
      </c>
      <c r="AB389" s="91">
        <v>-176</v>
      </c>
      <c r="AC389" s="91">
        <v>-176</v>
      </c>
      <c r="AD389" s="91">
        <v>-176</v>
      </c>
      <c r="AE389" s="91">
        <v>-176</v>
      </c>
      <c r="AF389" s="91">
        <v>-176</v>
      </c>
      <c r="AG389" s="91">
        <v>-812</v>
      </c>
      <c r="AH389" s="84">
        <v>10.6</v>
      </c>
      <c r="AI389" s="97">
        <f t="shared" ref="AI389:AI452" si="6">O389+P389+Q389+R389+S389-T389</f>
        <v>1678</v>
      </c>
    </row>
    <row r="390" spans="1:35">
      <c r="A390" s="55" t="s">
        <v>555</v>
      </c>
      <c r="B390" s="91">
        <v>10</v>
      </c>
      <c r="C390" s="91">
        <v>0</v>
      </c>
      <c r="D390" s="91">
        <v>224</v>
      </c>
      <c r="E390" s="90">
        <v>259</v>
      </c>
      <c r="F390" s="91">
        <v>4284663</v>
      </c>
      <c r="G390" s="91">
        <v>4116675</v>
      </c>
      <c r="H390" s="91">
        <v>481410</v>
      </c>
      <c r="I390" s="91">
        <v>122583.44</v>
      </c>
      <c r="J390" s="91">
        <v>-203596</v>
      </c>
      <c r="K390" s="91">
        <v>4642919</v>
      </c>
      <c r="L390" s="91">
        <v>3946225</v>
      </c>
      <c r="M390" s="91">
        <v>3724136</v>
      </c>
      <c r="N390" s="91">
        <v>4957492</v>
      </c>
      <c r="O390" s="91">
        <v>375515</v>
      </c>
      <c r="P390" s="91">
        <v>129569</v>
      </c>
      <c r="Q390" s="91">
        <v>0</v>
      </c>
      <c r="R390" s="91">
        <v>0</v>
      </c>
      <c r="S390" s="91">
        <v>-227270</v>
      </c>
      <c r="T390" s="91">
        <v>109826</v>
      </c>
      <c r="U390" s="91">
        <v>0</v>
      </c>
      <c r="V390" s="202">
        <v>0</v>
      </c>
      <c r="W390" s="91">
        <v>-23674</v>
      </c>
      <c r="X390" s="91">
        <v>0</v>
      </c>
      <c r="Y390" s="91">
        <v>203596</v>
      </c>
      <c r="Z390" s="91">
        <v>0</v>
      </c>
      <c r="AA390" s="91">
        <v>0</v>
      </c>
      <c r="AB390" s="91">
        <v>-23674</v>
      </c>
      <c r="AC390" s="91">
        <v>-23674</v>
      </c>
      <c r="AD390" s="91">
        <v>-23674</v>
      </c>
      <c r="AE390" s="91">
        <v>-23674</v>
      </c>
      <c r="AF390" s="91">
        <v>-23674</v>
      </c>
      <c r="AG390" s="91">
        <v>-85226</v>
      </c>
      <c r="AH390" s="84">
        <v>9.6</v>
      </c>
      <c r="AI390" s="97">
        <f t="shared" si="6"/>
        <v>167988</v>
      </c>
    </row>
    <row r="391" spans="1:35">
      <c r="A391" s="55" t="s">
        <v>556</v>
      </c>
      <c r="B391" s="91">
        <v>0</v>
      </c>
      <c r="C391" s="91">
        <v>0</v>
      </c>
      <c r="D391" s="91">
        <v>0</v>
      </c>
      <c r="E391" s="90">
        <v>0</v>
      </c>
      <c r="F391" s="91">
        <v>0</v>
      </c>
      <c r="G391" s="91">
        <v>0</v>
      </c>
      <c r="H391" s="91">
        <v>0</v>
      </c>
      <c r="I391" s="91">
        <v>0</v>
      </c>
      <c r="J391" s="91">
        <v>0</v>
      </c>
      <c r="K391" s="91">
        <v>0</v>
      </c>
      <c r="L391" s="91">
        <v>0</v>
      </c>
      <c r="M391" s="91">
        <v>0</v>
      </c>
      <c r="N391" s="91">
        <v>0</v>
      </c>
      <c r="O391" s="91">
        <v>0</v>
      </c>
      <c r="P391" s="91">
        <v>0</v>
      </c>
      <c r="Q391" s="91">
        <v>0</v>
      </c>
      <c r="R391" s="91">
        <v>0</v>
      </c>
      <c r="S391" s="91">
        <v>0</v>
      </c>
      <c r="T391" s="91">
        <v>0</v>
      </c>
      <c r="U391" s="91">
        <v>0</v>
      </c>
      <c r="V391" s="202">
        <v>0</v>
      </c>
      <c r="W391" s="91">
        <v>0</v>
      </c>
      <c r="X391" s="91">
        <v>0</v>
      </c>
      <c r="Y391" s="91">
        <v>0</v>
      </c>
      <c r="Z391" s="91">
        <v>0</v>
      </c>
      <c r="AA391" s="91">
        <v>0</v>
      </c>
      <c r="AB391" s="91">
        <v>0</v>
      </c>
      <c r="AC391" s="91">
        <v>0</v>
      </c>
      <c r="AD391" s="91">
        <v>0</v>
      </c>
      <c r="AE391" s="91">
        <v>0</v>
      </c>
      <c r="AF391" s="91">
        <v>0</v>
      </c>
      <c r="AG391" s="91">
        <v>0</v>
      </c>
      <c r="AH391" s="84">
        <v>1</v>
      </c>
      <c r="AI391" s="97">
        <f t="shared" si="6"/>
        <v>0</v>
      </c>
    </row>
    <row r="392" spans="1:35">
      <c r="A392" s="55" t="s">
        <v>557</v>
      </c>
      <c r="B392" s="91">
        <v>0</v>
      </c>
      <c r="C392" s="91">
        <v>0</v>
      </c>
      <c r="D392" s="91">
        <v>0</v>
      </c>
      <c r="E392" s="90">
        <v>0</v>
      </c>
      <c r="F392" s="91">
        <v>0</v>
      </c>
      <c r="G392" s="91">
        <v>0</v>
      </c>
      <c r="H392" s="91">
        <v>0</v>
      </c>
      <c r="I392" s="91">
        <v>0</v>
      </c>
      <c r="J392" s="91">
        <v>0</v>
      </c>
      <c r="K392" s="91">
        <v>0</v>
      </c>
      <c r="L392" s="91">
        <v>0</v>
      </c>
      <c r="M392" s="91">
        <v>0</v>
      </c>
      <c r="N392" s="91">
        <v>0</v>
      </c>
      <c r="O392" s="91">
        <v>0</v>
      </c>
      <c r="P392" s="91">
        <v>0</v>
      </c>
      <c r="Q392" s="91">
        <v>0</v>
      </c>
      <c r="R392" s="91">
        <v>0</v>
      </c>
      <c r="S392" s="91">
        <v>0</v>
      </c>
      <c r="T392" s="91">
        <v>0</v>
      </c>
      <c r="U392" s="91">
        <v>0</v>
      </c>
      <c r="V392" s="202">
        <v>0</v>
      </c>
      <c r="W392" s="91">
        <v>0</v>
      </c>
      <c r="X392" s="91">
        <v>0</v>
      </c>
      <c r="Y392" s="91">
        <v>0</v>
      </c>
      <c r="Z392" s="91">
        <v>0</v>
      </c>
      <c r="AA392" s="91">
        <v>0</v>
      </c>
      <c r="AB392" s="91">
        <v>0</v>
      </c>
      <c r="AC392" s="91">
        <v>0</v>
      </c>
      <c r="AD392" s="91">
        <v>0</v>
      </c>
      <c r="AE392" s="91">
        <v>0</v>
      </c>
      <c r="AF392" s="91">
        <v>0</v>
      </c>
      <c r="AG392" s="91">
        <v>0</v>
      </c>
      <c r="AH392" s="84">
        <v>1</v>
      </c>
      <c r="AI392" s="97">
        <f t="shared" si="6"/>
        <v>0</v>
      </c>
    </row>
    <row r="393" spans="1:35">
      <c r="A393" s="55" t="s">
        <v>558</v>
      </c>
      <c r="B393" s="91">
        <v>0</v>
      </c>
      <c r="C393" s="91">
        <v>0</v>
      </c>
      <c r="D393" s="91">
        <v>97</v>
      </c>
      <c r="E393" s="90">
        <v>102</v>
      </c>
      <c r="F393" s="91">
        <v>100928</v>
      </c>
      <c r="G393" s="91">
        <v>94785</v>
      </c>
      <c r="H393" s="91">
        <v>11407</v>
      </c>
      <c r="I393" s="91">
        <v>399.41999999999962</v>
      </c>
      <c r="J393" s="91">
        <v>-5264</v>
      </c>
      <c r="K393" s="91">
        <v>110244</v>
      </c>
      <c r="L393" s="91">
        <v>91966</v>
      </c>
      <c r="M393" s="91">
        <v>87255</v>
      </c>
      <c r="N393" s="91">
        <v>117153</v>
      </c>
      <c r="O393" s="91">
        <v>9033</v>
      </c>
      <c r="P393" s="91">
        <v>3032</v>
      </c>
      <c r="Q393" s="91">
        <v>0</v>
      </c>
      <c r="R393" s="91">
        <v>0</v>
      </c>
      <c r="S393" s="91">
        <v>-5922</v>
      </c>
      <c r="T393" s="91">
        <v>0</v>
      </c>
      <c r="U393" s="91">
        <v>0</v>
      </c>
      <c r="V393" s="202">
        <v>0</v>
      </c>
      <c r="W393" s="91">
        <v>-658</v>
      </c>
      <c r="X393" s="91">
        <v>0</v>
      </c>
      <c r="Y393" s="91">
        <v>5264</v>
      </c>
      <c r="Z393" s="91">
        <v>0</v>
      </c>
      <c r="AA393" s="91">
        <v>0</v>
      </c>
      <c r="AB393" s="91">
        <v>-658</v>
      </c>
      <c r="AC393" s="91">
        <v>-658</v>
      </c>
      <c r="AD393" s="91">
        <v>-658</v>
      </c>
      <c r="AE393" s="91">
        <v>-658</v>
      </c>
      <c r="AF393" s="91">
        <v>-658</v>
      </c>
      <c r="AG393" s="91">
        <v>-1974</v>
      </c>
      <c r="AH393" s="84">
        <v>9</v>
      </c>
      <c r="AI393" s="97">
        <f t="shared" si="6"/>
        <v>6143</v>
      </c>
    </row>
    <row r="394" spans="1:35">
      <c r="A394" s="55" t="s">
        <v>559</v>
      </c>
      <c r="B394" s="91">
        <v>0</v>
      </c>
      <c r="C394" s="91">
        <v>0</v>
      </c>
      <c r="D394" s="91">
        <v>21</v>
      </c>
      <c r="E394" s="90">
        <v>22</v>
      </c>
      <c r="F394" s="91">
        <v>20208</v>
      </c>
      <c r="G394" s="91">
        <v>17502</v>
      </c>
      <c r="H394" s="91">
        <v>3455</v>
      </c>
      <c r="I394" s="91">
        <v>255.34999999999991</v>
      </c>
      <c r="J394" s="91">
        <v>-749</v>
      </c>
      <c r="K394" s="91">
        <v>21564</v>
      </c>
      <c r="L394" s="91">
        <v>18920</v>
      </c>
      <c r="M394" s="91">
        <v>18071</v>
      </c>
      <c r="N394" s="91">
        <v>22657</v>
      </c>
      <c r="O394" s="91">
        <v>2949</v>
      </c>
      <c r="P394" s="91">
        <v>597</v>
      </c>
      <c r="Q394" s="91">
        <v>0</v>
      </c>
      <c r="R394" s="91">
        <v>0</v>
      </c>
      <c r="S394" s="91">
        <v>-840</v>
      </c>
      <c r="T394" s="91">
        <v>0</v>
      </c>
      <c r="U394" s="91">
        <v>0</v>
      </c>
      <c r="V394" s="202">
        <v>0</v>
      </c>
      <c r="W394" s="91">
        <v>-91</v>
      </c>
      <c r="X394" s="91">
        <v>0</v>
      </c>
      <c r="Y394" s="91">
        <v>749</v>
      </c>
      <c r="Z394" s="91">
        <v>0</v>
      </c>
      <c r="AA394" s="91">
        <v>0</v>
      </c>
      <c r="AB394" s="91">
        <v>-91</v>
      </c>
      <c r="AC394" s="91">
        <v>-91</v>
      </c>
      <c r="AD394" s="91">
        <v>-91</v>
      </c>
      <c r="AE394" s="91">
        <v>-91</v>
      </c>
      <c r="AF394" s="91">
        <v>-91</v>
      </c>
      <c r="AG394" s="91">
        <v>-294</v>
      </c>
      <c r="AH394" s="84">
        <v>9.1999999999999993</v>
      </c>
      <c r="AI394" s="97">
        <f t="shared" si="6"/>
        <v>2706</v>
      </c>
    </row>
    <row r="395" spans="1:35">
      <c r="A395" s="55" t="s">
        <v>560</v>
      </c>
      <c r="B395" s="91">
        <v>1</v>
      </c>
      <c r="C395" s="91">
        <v>0</v>
      </c>
      <c r="D395" s="91">
        <v>58</v>
      </c>
      <c r="E395" s="90">
        <v>59</v>
      </c>
      <c r="F395" s="91">
        <v>243379</v>
      </c>
      <c r="G395" s="91">
        <v>232563</v>
      </c>
      <c r="H395" s="91">
        <v>22821</v>
      </c>
      <c r="I395" s="91">
        <v>7032.8199999999961</v>
      </c>
      <c r="J395" s="91">
        <v>-7536</v>
      </c>
      <c r="K395" s="91">
        <v>256772</v>
      </c>
      <c r="L395" s="91">
        <v>230388</v>
      </c>
      <c r="M395" s="91">
        <v>222340</v>
      </c>
      <c r="N395" s="91">
        <v>267526</v>
      </c>
      <c r="O395" s="91">
        <v>16603</v>
      </c>
      <c r="P395" s="91">
        <v>7210</v>
      </c>
      <c r="Q395" s="91">
        <v>0</v>
      </c>
      <c r="R395" s="91">
        <v>0</v>
      </c>
      <c r="S395" s="91">
        <v>-8528</v>
      </c>
      <c r="T395" s="91">
        <v>4469</v>
      </c>
      <c r="U395" s="91">
        <v>0</v>
      </c>
      <c r="V395" s="202">
        <v>0</v>
      </c>
      <c r="W395" s="91">
        <v>-992</v>
      </c>
      <c r="X395" s="91">
        <v>0</v>
      </c>
      <c r="Y395" s="91">
        <v>7536</v>
      </c>
      <c r="Z395" s="91">
        <v>0</v>
      </c>
      <c r="AA395" s="91">
        <v>0</v>
      </c>
      <c r="AB395" s="91">
        <v>-992</v>
      </c>
      <c r="AC395" s="91">
        <v>-992</v>
      </c>
      <c r="AD395" s="91">
        <v>-992</v>
      </c>
      <c r="AE395" s="91">
        <v>-992</v>
      </c>
      <c r="AF395" s="91">
        <v>-992</v>
      </c>
      <c r="AG395" s="91">
        <v>-2576</v>
      </c>
      <c r="AH395" s="84">
        <v>8.6</v>
      </c>
      <c r="AI395" s="97">
        <f t="shared" si="6"/>
        <v>10816</v>
      </c>
    </row>
    <row r="396" spans="1:35">
      <c r="A396" s="55" t="s">
        <v>561</v>
      </c>
      <c r="B396" s="91">
        <v>0</v>
      </c>
      <c r="C396" s="91">
        <v>0</v>
      </c>
      <c r="D396" s="91">
        <v>3</v>
      </c>
      <c r="E396" s="90">
        <v>3</v>
      </c>
      <c r="F396" s="91">
        <v>8757</v>
      </c>
      <c r="G396" s="91">
        <v>7768</v>
      </c>
      <c r="H396" s="91">
        <v>1162</v>
      </c>
      <c r="I396" s="91">
        <v>141</v>
      </c>
      <c r="J396" s="91">
        <v>-173</v>
      </c>
      <c r="K396" s="91">
        <v>9086</v>
      </c>
      <c r="L396" s="91">
        <v>8456</v>
      </c>
      <c r="M396" s="91">
        <v>8189</v>
      </c>
      <c r="N396" s="91">
        <v>9400</v>
      </c>
      <c r="O396" s="91">
        <v>946</v>
      </c>
      <c r="P396" s="91">
        <v>254</v>
      </c>
      <c r="Q396" s="91">
        <v>0</v>
      </c>
      <c r="R396" s="91">
        <v>0</v>
      </c>
      <c r="S396" s="91">
        <v>-211</v>
      </c>
      <c r="T396" s="91">
        <v>0</v>
      </c>
      <c r="U396" s="91">
        <v>0</v>
      </c>
      <c r="V396" s="202">
        <v>0</v>
      </c>
      <c r="W396" s="91">
        <v>-38</v>
      </c>
      <c r="X396" s="91">
        <v>0</v>
      </c>
      <c r="Y396" s="91">
        <v>173</v>
      </c>
      <c r="Z396" s="91">
        <v>0</v>
      </c>
      <c r="AA396" s="91">
        <v>0</v>
      </c>
      <c r="AB396" s="91">
        <v>-38</v>
      </c>
      <c r="AC396" s="91">
        <v>-38</v>
      </c>
      <c r="AD396" s="91">
        <v>-38</v>
      </c>
      <c r="AE396" s="91">
        <v>-38</v>
      </c>
      <c r="AF396" s="91">
        <v>-21</v>
      </c>
      <c r="AG396" s="91">
        <v>0</v>
      </c>
      <c r="AH396" s="84">
        <v>5.6</v>
      </c>
      <c r="AI396" s="97">
        <f t="shared" si="6"/>
        <v>989</v>
      </c>
    </row>
    <row r="397" spans="1:35">
      <c r="A397" s="55" t="s">
        <v>562</v>
      </c>
      <c r="B397" s="91">
        <v>0</v>
      </c>
      <c r="C397" s="91">
        <v>0</v>
      </c>
      <c r="D397" s="91">
        <v>23</v>
      </c>
      <c r="E397" s="90">
        <v>23</v>
      </c>
      <c r="F397" s="91">
        <v>116447</v>
      </c>
      <c r="G397" s="91">
        <v>111230</v>
      </c>
      <c r="H397" s="91">
        <v>10749</v>
      </c>
      <c r="I397" s="91">
        <v>352.48000000000025</v>
      </c>
      <c r="J397" s="91">
        <v>-5532</v>
      </c>
      <c r="K397" s="91">
        <v>126031</v>
      </c>
      <c r="L397" s="91">
        <v>107234</v>
      </c>
      <c r="M397" s="91">
        <v>101607</v>
      </c>
      <c r="N397" s="91">
        <v>133907</v>
      </c>
      <c r="O397" s="91">
        <v>7848</v>
      </c>
      <c r="P397" s="91">
        <v>3477</v>
      </c>
      <c r="Q397" s="91">
        <v>0</v>
      </c>
      <c r="R397" s="91">
        <v>0</v>
      </c>
      <c r="S397" s="91">
        <v>-6108</v>
      </c>
      <c r="T397" s="91">
        <v>0</v>
      </c>
      <c r="U397" s="91">
        <v>0</v>
      </c>
      <c r="V397" s="202">
        <v>0</v>
      </c>
      <c r="W397" s="91">
        <v>-576</v>
      </c>
      <c r="X397" s="91">
        <v>0</v>
      </c>
      <c r="Y397" s="91">
        <v>5532</v>
      </c>
      <c r="Z397" s="91">
        <v>0</v>
      </c>
      <c r="AA397" s="91">
        <v>0</v>
      </c>
      <c r="AB397" s="91">
        <v>-576</v>
      </c>
      <c r="AC397" s="91">
        <v>-576</v>
      </c>
      <c r="AD397" s="91">
        <v>-576</v>
      </c>
      <c r="AE397" s="91">
        <v>-576</v>
      </c>
      <c r="AF397" s="91">
        <v>-576</v>
      </c>
      <c r="AG397" s="91">
        <v>-2652</v>
      </c>
      <c r="AH397" s="84">
        <v>10.6</v>
      </c>
      <c r="AI397" s="97">
        <f t="shared" si="6"/>
        <v>5217</v>
      </c>
    </row>
    <row r="398" spans="1:35">
      <c r="A398" s="55" t="s">
        <v>563</v>
      </c>
      <c r="B398" s="91">
        <v>0</v>
      </c>
      <c r="C398" s="91">
        <v>0</v>
      </c>
      <c r="D398" s="91">
        <v>110</v>
      </c>
      <c r="E398" s="90">
        <v>114</v>
      </c>
      <c r="F398" s="91">
        <v>154051</v>
      </c>
      <c r="G398" s="91">
        <v>140286</v>
      </c>
      <c r="H398" s="91">
        <v>22267</v>
      </c>
      <c r="I398" s="91">
        <v>1825.1399999999949</v>
      </c>
      <c r="J398" s="91">
        <v>-8502</v>
      </c>
      <c r="K398" s="91">
        <v>168911</v>
      </c>
      <c r="L398" s="91">
        <v>140594</v>
      </c>
      <c r="M398" s="91">
        <v>132178</v>
      </c>
      <c r="N398" s="91">
        <v>181080</v>
      </c>
      <c r="O398" s="91">
        <v>18534</v>
      </c>
      <c r="P398" s="91">
        <v>4638</v>
      </c>
      <c r="Q398" s="91">
        <v>0</v>
      </c>
      <c r="R398" s="91">
        <v>0</v>
      </c>
      <c r="S398" s="91">
        <v>-9407</v>
      </c>
      <c r="T398" s="91">
        <v>0</v>
      </c>
      <c r="U398" s="91">
        <v>0</v>
      </c>
      <c r="V398" s="202">
        <v>0</v>
      </c>
      <c r="W398" s="91">
        <v>-905</v>
      </c>
      <c r="X398" s="91">
        <v>0</v>
      </c>
      <c r="Y398" s="91">
        <v>8502</v>
      </c>
      <c r="Z398" s="91">
        <v>0</v>
      </c>
      <c r="AA398" s="91">
        <v>0</v>
      </c>
      <c r="AB398" s="91">
        <v>-905</v>
      </c>
      <c r="AC398" s="91">
        <v>-905</v>
      </c>
      <c r="AD398" s="91">
        <v>-905</v>
      </c>
      <c r="AE398" s="91">
        <v>-905</v>
      </c>
      <c r="AF398" s="91">
        <v>-905</v>
      </c>
      <c r="AG398" s="91">
        <v>-3977</v>
      </c>
      <c r="AH398" s="84">
        <v>10.4</v>
      </c>
      <c r="AI398" s="97">
        <f t="shared" si="6"/>
        <v>13765</v>
      </c>
    </row>
    <row r="399" spans="1:35" ht="22.5">
      <c r="A399" s="55" t="s">
        <v>564</v>
      </c>
      <c r="B399" s="91">
        <v>0</v>
      </c>
      <c r="C399" s="91">
        <v>0</v>
      </c>
      <c r="D399" s="91">
        <v>21</v>
      </c>
      <c r="E399" s="90">
        <v>21</v>
      </c>
      <c r="F399" s="91">
        <v>37040</v>
      </c>
      <c r="G399" s="91">
        <v>34414</v>
      </c>
      <c r="H399" s="91">
        <v>4958</v>
      </c>
      <c r="I399" s="91">
        <v>134.65999999999991</v>
      </c>
      <c r="J399" s="91">
        <v>-2332</v>
      </c>
      <c r="K399" s="91">
        <v>41273</v>
      </c>
      <c r="L399" s="91">
        <v>33279</v>
      </c>
      <c r="M399" s="91">
        <v>31216</v>
      </c>
      <c r="N399" s="91">
        <v>44316</v>
      </c>
      <c r="O399" s="91">
        <v>4074</v>
      </c>
      <c r="P399" s="91">
        <v>1124</v>
      </c>
      <c r="Q399" s="91">
        <v>0</v>
      </c>
      <c r="R399" s="91">
        <v>0</v>
      </c>
      <c r="S399" s="91">
        <v>-2572</v>
      </c>
      <c r="T399" s="91">
        <v>0</v>
      </c>
      <c r="U399" s="91">
        <v>0</v>
      </c>
      <c r="V399" s="202">
        <v>0</v>
      </c>
      <c r="W399" s="91">
        <v>-240</v>
      </c>
      <c r="X399" s="91">
        <v>0</v>
      </c>
      <c r="Y399" s="91">
        <v>2332</v>
      </c>
      <c r="Z399" s="91">
        <v>0</v>
      </c>
      <c r="AA399" s="91">
        <v>0</v>
      </c>
      <c r="AB399" s="91">
        <v>-240</v>
      </c>
      <c r="AC399" s="91">
        <v>-240</v>
      </c>
      <c r="AD399" s="91">
        <v>-240</v>
      </c>
      <c r="AE399" s="91">
        <v>-240</v>
      </c>
      <c r="AF399" s="91">
        <v>-240</v>
      </c>
      <c r="AG399" s="91">
        <v>-1132</v>
      </c>
      <c r="AH399" s="84">
        <v>10.7</v>
      </c>
      <c r="AI399" s="97">
        <f t="shared" si="6"/>
        <v>2626</v>
      </c>
    </row>
    <row r="400" spans="1:35">
      <c r="A400" s="55" t="s">
        <v>565</v>
      </c>
      <c r="B400" s="91">
        <v>0</v>
      </c>
      <c r="C400" s="91">
        <v>0</v>
      </c>
      <c r="D400" s="91">
        <v>14</v>
      </c>
      <c r="E400" s="90">
        <v>16</v>
      </c>
      <c r="F400" s="91">
        <v>22827</v>
      </c>
      <c r="G400" s="91">
        <v>20574</v>
      </c>
      <c r="H400" s="91">
        <v>3148</v>
      </c>
      <c r="I400" s="91">
        <v>37.400000000000006</v>
      </c>
      <c r="J400" s="91">
        <v>-895</v>
      </c>
      <c r="K400" s="91">
        <v>24350</v>
      </c>
      <c r="L400" s="91">
        <v>21391</v>
      </c>
      <c r="M400" s="91">
        <v>20501</v>
      </c>
      <c r="N400" s="91">
        <v>25599</v>
      </c>
      <c r="O400" s="91">
        <v>2594</v>
      </c>
      <c r="P400" s="91">
        <v>677</v>
      </c>
      <c r="Q400" s="91">
        <v>0</v>
      </c>
      <c r="R400" s="91">
        <v>0</v>
      </c>
      <c r="S400" s="91">
        <v>-1018</v>
      </c>
      <c r="T400" s="91">
        <v>0</v>
      </c>
      <c r="U400" s="91">
        <v>0</v>
      </c>
      <c r="V400" s="202">
        <v>0</v>
      </c>
      <c r="W400" s="91">
        <v>-123</v>
      </c>
      <c r="X400" s="91">
        <v>0</v>
      </c>
      <c r="Y400" s="91">
        <v>895</v>
      </c>
      <c r="Z400" s="91">
        <v>0</v>
      </c>
      <c r="AA400" s="91">
        <v>0</v>
      </c>
      <c r="AB400" s="91">
        <v>-123</v>
      </c>
      <c r="AC400" s="91">
        <v>-123</v>
      </c>
      <c r="AD400" s="91">
        <v>-123</v>
      </c>
      <c r="AE400" s="91">
        <v>-123</v>
      </c>
      <c r="AF400" s="91">
        <v>-123</v>
      </c>
      <c r="AG400" s="91">
        <v>-280</v>
      </c>
      <c r="AH400" s="84">
        <v>8.3000000000000007</v>
      </c>
      <c r="AI400" s="97">
        <f t="shared" si="6"/>
        <v>2253</v>
      </c>
    </row>
    <row r="401" spans="1:35">
      <c r="A401" s="55" t="s">
        <v>566</v>
      </c>
      <c r="B401" s="91">
        <v>0</v>
      </c>
      <c r="C401" s="91">
        <v>0</v>
      </c>
      <c r="D401" s="91">
        <v>1</v>
      </c>
      <c r="E401" s="90">
        <v>1</v>
      </c>
      <c r="F401" s="91">
        <v>0</v>
      </c>
      <c r="G401" s="91">
        <v>0</v>
      </c>
      <c r="H401" s="91">
        <v>0</v>
      </c>
      <c r="I401" s="91">
        <v>0</v>
      </c>
      <c r="J401" s="91">
        <v>0</v>
      </c>
      <c r="K401" s="91">
        <v>0</v>
      </c>
      <c r="L401" s="91">
        <v>0</v>
      </c>
      <c r="M401" s="91">
        <v>0</v>
      </c>
      <c r="N401" s="91">
        <v>0</v>
      </c>
      <c r="O401" s="91">
        <v>0</v>
      </c>
      <c r="P401" s="91">
        <v>0</v>
      </c>
      <c r="Q401" s="91">
        <v>0</v>
      </c>
      <c r="R401" s="91">
        <v>0</v>
      </c>
      <c r="S401" s="91">
        <v>0</v>
      </c>
      <c r="T401" s="91">
        <v>0</v>
      </c>
      <c r="U401" s="91">
        <v>0</v>
      </c>
      <c r="V401" s="202">
        <v>0</v>
      </c>
      <c r="W401" s="91">
        <v>0</v>
      </c>
      <c r="X401" s="91">
        <v>0</v>
      </c>
      <c r="Y401" s="91">
        <v>0</v>
      </c>
      <c r="Z401" s="91">
        <v>0</v>
      </c>
      <c r="AA401" s="91">
        <v>0</v>
      </c>
      <c r="AB401" s="91">
        <v>0</v>
      </c>
      <c r="AC401" s="91">
        <v>0</v>
      </c>
      <c r="AD401" s="91">
        <v>0</v>
      </c>
      <c r="AE401" s="91">
        <v>0</v>
      </c>
      <c r="AF401" s="91">
        <v>0</v>
      </c>
      <c r="AG401" s="91">
        <v>0</v>
      </c>
      <c r="AH401" s="84">
        <v>9.5</v>
      </c>
      <c r="AI401" s="97">
        <f t="shared" si="6"/>
        <v>0</v>
      </c>
    </row>
    <row r="402" spans="1:35">
      <c r="A402" s="55" t="s">
        <v>567</v>
      </c>
      <c r="B402" s="91">
        <v>1</v>
      </c>
      <c r="C402" s="91">
        <v>0</v>
      </c>
      <c r="D402" s="91">
        <v>7</v>
      </c>
      <c r="E402" s="90">
        <v>8</v>
      </c>
      <c r="F402" s="91">
        <v>34291</v>
      </c>
      <c r="G402" s="91">
        <v>36493</v>
      </c>
      <c r="H402" s="91">
        <v>3255</v>
      </c>
      <c r="I402" s="91">
        <v>4345.4799999999996</v>
      </c>
      <c r="J402" s="91">
        <v>-1158</v>
      </c>
      <c r="K402" s="91">
        <v>36367</v>
      </c>
      <c r="L402" s="91">
        <v>32288</v>
      </c>
      <c r="M402" s="91">
        <v>31025</v>
      </c>
      <c r="N402" s="91">
        <v>38160</v>
      </c>
      <c r="O402" s="91">
        <v>2329</v>
      </c>
      <c r="P402" s="91">
        <v>1071</v>
      </c>
      <c r="Q402" s="91">
        <v>0</v>
      </c>
      <c r="R402" s="91">
        <v>0</v>
      </c>
      <c r="S402" s="91">
        <v>-1303</v>
      </c>
      <c r="T402" s="91">
        <v>4299</v>
      </c>
      <c r="U402" s="91">
        <v>0</v>
      </c>
      <c r="V402" s="202">
        <v>0</v>
      </c>
      <c r="W402" s="91">
        <v>-145</v>
      </c>
      <c r="X402" s="91">
        <v>0</v>
      </c>
      <c r="Y402" s="91">
        <v>1158</v>
      </c>
      <c r="Z402" s="91">
        <v>0</v>
      </c>
      <c r="AA402" s="91">
        <v>0</v>
      </c>
      <c r="AB402" s="91">
        <v>-145</v>
      </c>
      <c r="AC402" s="91">
        <v>-145</v>
      </c>
      <c r="AD402" s="91">
        <v>-145</v>
      </c>
      <c r="AE402" s="91">
        <v>-145</v>
      </c>
      <c r="AF402" s="91">
        <v>-145</v>
      </c>
      <c r="AG402" s="91">
        <v>-433</v>
      </c>
      <c r="AH402" s="84">
        <v>9</v>
      </c>
      <c r="AI402" s="97">
        <f t="shared" si="6"/>
        <v>-2202</v>
      </c>
    </row>
    <row r="403" spans="1:35">
      <c r="A403" s="55" t="s">
        <v>568</v>
      </c>
      <c r="B403" s="91">
        <v>0</v>
      </c>
      <c r="C403" s="91">
        <v>0</v>
      </c>
      <c r="D403" s="91">
        <v>42</v>
      </c>
      <c r="E403" s="90">
        <v>45</v>
      </c>
      <c r="F403" s="91">
        <v>39633</v>
      </c>
      <c r="G403" s="91">
        <v>33873</v>
      </c>
      <c r="H403" s="91">
        <v>7128</v>
      </c>
      <c r="I403" s="91">
        <v>374.15000000000032</v>
      </c>
      <c r="J403" s="91">
        <v>-1368</v>
      </c>
      <c r="K403" s="91">
        <v>42054</v>
      </c>
      <c r="L403" s="91">
        <v>37330</v>
      </c>
      <c r="M403" s="91">
        <v>35553</v>
      </c>
      <c r="N403" s="91">
        <v>44328</v>
      </c>
      <c r="O403" s="91">
        <v>6163</v>
      </c>
      <c r="P403" s="91">
        <v>1169</v>
      </c>
      <c r="Q403" s="91">
        <v>0</v>
      </c>
      <c r="R403" s="91">
        <v>0</v>
      </c>
      <c r="S403" s="91">
        <v>-1572</v>
      </c>
      <c r="T403" s="91">
        <v>0</v>
      </c>
      <c r="U403" s="91">
        <v>0</v>
      </c>
      <c r="V403" s="202">
        <v>0</v>
      </c>
      <c r="W403" s="91">
        <v>-204</v>
      </c>
      <c r="X403" s="91">
        <v>0</v>
      </c>
      <c r="Y403" s="91">
        <v>1368</v>
      </c>
      <c r="Z403" s="91">
        <v>0</v>
      </c>
      <c r="AA403" s="91">
        <v>0</v>
      </c>
      <c r="AB403" s="91">
        <v>-204</v>
      </c>
      <c r="AC403" s="91">
        <v>-204</v>
      </c>
      <c r="AD403" s="91">
        <v>-204</v>
      </c>
      <c r="AE403" s="91">
        <v>-204</v>
      </c>
      <c r="AF403" s="91">
        <v>-204</v>
      </c>
      <c r="AG403" s="91">
        <v>-348</v>
      </c>
      <c r="AH403" s="84">
        <v>7.7</v>
      </c>
      <c r="AI403" s="97">
        <f t="shared" si="6"/>
        <v>5760</v>
      </c>
    </row>
    <row r="404" spans="1:35">
      <c r="A404" s="55" t="s">
        <v>569</v>
      </c>
      <c r="B404" s="91">
        <v>0</v>
      </c>
      <c r="C404" s="91">
        <v>0</v>
      </c>
      <c r="D404" s="91">
        <v>11</v>
      </c>
      <c r="E404" s="90">
        <v>16</v>
      </c>
      <c r="F404" s="91">
        <v>35397</v>
      </c>
      <c r="G404" s="91">
        <v>31689</v>
      </c>
      <c r="H404" s="91">
        <v>4302</v>
      </c>
      <c r="I404" s="91">
        <v>897.52</v>
      </c>
      <c r="J404" s="91">
        <v>-594</v>
      </c>
      <c r="K404" s="91">
        <v>36544</v>
      </c>
      <c r="L404" s="91">
        <v>34239</v>
      </c>
      <c r="M404" s="91">
        <v>33081</v>
      </c>
      <c r="N404" s="91">
        <v>37898</v>
      </c>
      <c r="O404" s="91">
        <v>3419</v>
      </c>
      <c r="P404" s="91">
        <v>1025</v>
      </c>
      <c r="Q404" s="91">
        <v>0</v>
      </c>
      <c r="R404" s="91">
        <v>0</v>
      </c>
      <c r="S404" s="91">
        <v>-736</v>
      </c>
      <c r="T404" s="91">
        <v>0</v>
      </c>
      <c r="U404" s="91">
        <v>0</v>
      </c>
      <c r="V404" s="202">
        <v>0</v>
      </c>
      <c r="W404" s="91">
        <v>-142</v>
      </c>
      <c r="X404" s="91">
        <v>0</v>
      </c>
      <c r="Y404" s="91">
        <v>594</v>
      </c>
      <c r="Z404" s="91">
        <v>0</v>
      </c>
      <c r="AA404" s="91">
        <v>0</v>
      </c>
      <c r="AB404" s="91">
        <v>-142</v>
      </c>
      <c r="AC404" s="91">
        <v>-142</v>
      </c>
      <c r="AD404" s="91">
        <v>-142</v>
      </c>
      <c r="AE404" s="91">
        <v>-142</v>
      </c>
      <c r="AF404" s="91">
        <v>-26</v>
      </c>
      <c r="AG404" s="91">
        <v>0</v>
      </c>
      <c r="AH404" s="84">
        <v>5.2</v>
      </c>
      <c r="AI404" s="97">
        <f t="shared" si="6"/>
        <v>3708</v>
      </c>
    </row>
    <row r="405" spans="1:35">
      <c r="A405" s="55" t="s">
        <v>570</v>
      </c>
      <c r="B405" s="91">
        <v>0</v>
      </c>
      <c r="C405" s="91">
        <v>0</v>
      </c>
      <c r="D405" s="91">
        <v>54</v>
      </c>
      <c r="E405" s="90">
        <v>62</v>
      </c>
      <c r="F405" s="91">
        <v>82833</v>
      </c>
      <c r="G405" s="91">
        <v>78559</v>
      </c>
      <c r="H405" s="91">
        <v>9020</v>
      </c>
      <c r="I405" s="91">
        <v>740.82000000000016</v>
      </c>
      <c r="J405" s="91">
        <v>-4746</v>
      </c>
      <c r="K405" s="91">
        <v>91211</v>
      </c>
      <c r="L405" s="91">
        <v>75356</v>
      </c>
      <c r="M405" s="91">
        <v>71345</v>
      </c>
      <c r="N405" s="91">
        <v>96854</v>
      </c>
      <c r="O405" s="91">
        <v>7015</v>
      </c>
      <c r="P405" s="91">
        <v>2499</v>
      </c>
      <c r="Q405" s="91">
        <v>0</v>
      </c>
      <c r="R405" s="91">
        <v>0</v>
      </c>
      <c r="S405" s="91">
        <v>-5240</v>
      </c>
      <c r="T405" s="91">
        <v>0</v>
      </c>
      <c r="U405" s="91">
        <v>0</v>
      </c>
      <c r="V405" s="202">
        <v>0</v>
      </c>
      <c r="W405" s="91">
        <v>-494</v>
      </c>
      <c r="X405" s="91">
        <v>0</v>
      </c>
      <c r="Y405" s="91">
        <v>4746</v>
      </c>
      <c r="Z405" s="91">
        <v>0</v>
      </c>
      <c r="AA405" s="91">
        <v>0</v>
      </c>
      <c r="AB405" s="91">
        <v>-494</v>
      </c>
      <c r="AC405" s="91">
        <v>-494</v>
      </c>
      <c r="AD405" s="91">
        <v>-494</v>
      </c>
      <c r="AE405" s="91">
        <v>-494</v>
      </c>
      <c r="AF405" s="91">
        <v>-494</v>
      </c>
      <c r="AG405" s="91">
        <v>-2276</v>
      </c>
      <c r="AH405" s="84">
        <v>10.6</v>
      </c>
      <c r="AI405" s="97">
        <f t="shared" si="6"/>
        <v>4274</v>
      </c>
    </row>
    <row r="406" spans="1:35">
      <c r="A406" s="55" t="s">
        <v>571</v>
      </c>
      <c r="B406" s="91">
        <v>0</v>
      </c>
      <c r="C406" s="91">
        <v>0</v>
      </c>
      <c r="D406" s="91">
        <v>64</v>
      </c>
      <c r="E406" s="90">
        <v>70</v>
      </c>
      <c r="F406" s="91">
        <v>70134</v>
      </c>
      <c r="G406" s="91">
        <v>65582</v>
      </c>
      <c r="H406" s="91">
        <v>8320</v>
      </c>
      <c r="I406" s="91">
        <v>219.21000000000026</v>
      </c>
      <c r="J406" s="91">
        <v>-3768</v>
      </c>
      <c r="K406" s="91">
        <v>76660</v>
      </c>
      <c r="L406" s="91">
        <v>64013</v>
      </c>
      <c r="M406" s="91">
        <v>60341</v>
      </c>
      <c r="N406" s="91">
        <v>81956</v>
      </c>
      <c r="O406" s="91">
        <v>6601</v>
      </c>
      <c r="P406" s="91">
        <v>2108</v>
      </c>
      <c r="Q406" s="91">
        <v>0</v>
      </c>
      <c r="R406" s="91">
        <v>0</v>
      </c>
      <c r="S406" s="91">
        <v>-4157</v>
      </c>
      <c r="T406" s="91">
        <v>0</v>
      </c>
      <c r="U406" s="91">
        <v>0</v>
      </c>
      <c r="V406" s="202">
        <v>0</v>
      </c>
      <c r="W406" s="91">
        <v>-389</v>
      </c>
      <c r="X406" s="91">
        <v>0</v>
      </c>
      <c r="Y406" s="91">
        <v>3768</v>
      </c>
      <c r="Z406" s="91">
        <v>0</v>
      </c>
      <c r="AA406" s="91">
        <v>0</v>
      </c>
      <c r="AB406" s="91">
        <v>-389</v>
      </c>
      <c r="AC406" s="91">
        <v>-389</v>
      </c>
      <c r="AD406" s="91">
        <v>-389</v>
      </c>
      <c r="AE406" s="91">
        <v>-389</v>
      </c>
      <c r="AF406" s="91">
        <v>-389</v>
      </c>
      <c r="AG406" s="91">
        <v>-1823</v>
      </c>
      <c r="AH406" s="84">
        <v>10.7</v>
      </c>
      <c r="AI406" s="97">
        <f t="shared" si="6"/>
        <v>4552</v>
      </c>
    </row>
    <row r="407" spans="1:35">
      <c r="A407" s="55" t="s">
        <v>572</v>
      </c>
      <c r="B407" s="91">
        <v>0</v>
      </c>
      <c r="C407" s="91">
        <v>0</v>
      </c>
      <c r="D407" s="91">
        <v>21</v>
      </c>
      <c r="E407" s="90">
        <v>23</v>
      </c>
      <c r="F407" s="91">
        <v>32179</v>
      </c>
      <c r="G407" s="91">
        <v>28475</v>
      </c>
      <c r="H407" s="91">
        <v>4737</v>
      </c>
      <c r="I407" s="91">
        <v>446.91999999999973</v>
      </c>
      <c r="J407" s="91">
        <v>-1033</v>
      </c>
      <c r="K407" s="91">
        <v>34067</v>
      </c>
      <c r="L407" s="91">
        <v>30342</v>
      </c>
      <c r="M407" s="91">
        <v>28941</v>
      </c>
      <c r="N407" s="91">
        <v>35919</v>
      </c>
      <c r="O407" s="91">
        <v>3968</v>
      </c>
      <c r="P407" s="91">
        <v>947</v>
      </c>
      <c r="Q407" s="91">
        <v>0</v>
      </c>
      <c r="R407" s="91">
        <v>0</v>
      </c>
      <c r="S407" s="91">
        <v>-1211</v>
      </c>
      <c r="T407" s="91">
        <v>0</v>
      </c>
      <c r="U407" s="91">
        <v>0</v>
      </c>
      <c r="V407" s="202">
        <v>0</v>
      </c>
      <c r="W407" s="91">
        <v>-178</v>
      </c>
      <c r="X407" s="91">
        <v>0</v>
      </c>
      <c r="Y407" s="91">
        <v>1033</v>
      </c>
      <c r="Z407" s="91">
        <v>0</v>
      </c>
      <c r="AA407" s="91">
        <v>0</v>
      </c>
      <c r="AB407" s="91">
        <v>-178</v>
      </c>
      <c r="AC407" s="91">
        <v>-178</v>
      </c>
      <c r="AD407" s="91">
        <v>-178</v>
      </c>
      <c r="AE407" s="91">
        <v>-178</v>
      </c>
      <c r="AF407" s="91">
        <v>-178</v>
      </c>
      <c r="AG407" s="91">
        <v>-143</v>
      </c>
      <c r="AH407" s="84">
        <v>6.8</v>
      </c>
      <c r="AI407" s="97">
        <f t="shared" si="6"/>
        <v>3704</v>
      </c>
    </row>
    <row r="408" spans="1:35">
      <c r="A408" s="55" t="s">
        <v>573</v>
      </c>
      <c r="B408" s="91">
        <v>0</v>
      </c>
      <c r="C408" s="91">
        <v>0</v>
      </c>
      <c r="D408" s="91">
        <v>0</v>
      </c>
      <c r="E408" s="90">
        <v>0</v>
      </c>
      <c r="F408" s="91">
        <v>0</v>
      </c>
      <c r="G408" s="91">
        <v>0</v>
      </c>
      <c r="H408" s="91">
        <v>0</v>
      </c>
      <c r="I408" s="91">
        <v>0</v>
      </c>
      <c r="J408" s="91">
        <v>0</v>
      </c>
      <c r="K408" s="91">
        <v>0</v>
      </c>
      <c r="L408" s="91">
        <v>0</v>
      </c>
      <c r="M408" s="91">
        <v>0</v>
      </c>
      <c r="N408" s="91">
        <v>0</v>
      </c>
      <c r="O408" s="91">
        <v>0</v>
      </c>
      <c r="P408" s="91">
        <v>0</v>
      </c>
      <c r="Q408" s="91">
        <v>0</v>
      </c>
      <c r="R408" s="91">
        <v>0</v>
      </c>
      <c r="S408" s="91">
        <v>0</v>
      </c>
      <c r="T408" s="91">
        <v>0</v>
      </c>
      <c r="U408" s="91">
        <v>0</v>
      </c>
      <c r="V408" s="202">
        <v>0</v>
      </c>
      <c r="W408" s="91">
        <v>0</v>
      </c>
      <c r="X408" s="91">
        <v>0</v>
      </c>
      <c r="Y408" s="91">
        <v>0</v>
      </c>
      <c r="Z408" s="91">
        <v>0</v>
      </c>
      <c r="AA408" s="91">
        <v>0</v>
      </c>
      <c r="AB408" s="91">
        <v>0</v>
      </c>
      <c r="AC408" s="91">
        <v>0</v>
      </c>
      <c r="AD408" s="91">
        <v>0</v>
      </c>
      <c r="AE408" s="91">
        <v>0</v>
      </c>
      <c r="AF408" s="91">
        <v>0</v>
      </c>
      <c r="AG408" s="91">
        <v>0</v>
      </c>
      <c r="AH408" s="84">
        <v>1</v>
      </c>
      <c r="AI408" s="97">
        <f t="shared" si="6"/>
        <v>0</v>
      </c>
    </row>
    <row r="409" spans="1:35">
      <c r="A409" s="55" t="s">
        <v>574</v>
      </c>
      <c r="B409" s="91">
        <v>0</v>
      </c>
      <c r="C409" s="91">
        <v>0</v>
      </c>
      <c r="D409" s="91">
        <v>0</v>
      </c>
      <c r="E409" s="90">
        <v>0</v>
      </c>
      <c r="F409" s="91">
        <v>0</v>
      </c>
      <c r="G409" s="91">
        <v>0</v>
      </c>
      <c r="H409" s="91">
        <v>0</v>
      </c>
      <c r="I409" s="91">
        <v>0</v>
      </c>
      <c r="J409" s="91">
        <v>0</v>
      </c>
      <c r="K409" s="91">
        <v>0</v>
      </c>
      <c r="L409" s="91">
        <v>0</v>
      </c>
      <c r="M409" s="91">
        <v>0</v>
      </c>
      <c r="N409" s="91">
        <v>0</v>
      </c>
      <c r="O409" s="91">
        <v>0</v>
      </c>
      <c r="P409" s="91">
        <v>0</v>
      </c>
      <c r="Q409" s="91">
        <v>0</v>
      </c>
      <c r="R409" s="91">
        <v>0</v>
      </c>
      <c r="S409" s="91">
        <v>0</v>
      </c>
      <c r="T409" s="91">
        <v>0</v>
      </c>
      <c r="U409" s="91">
        <v>0</v>
      </c>
      <c r="V409" s="202">
        <v>0</v>
      </c>
      <c r="W409" s="91">
        <v>0</v>
      </c>
      <c r="X409" s="91">
        <v>0</v>
      </c>
      <c r="Y409" s="91">
        <v>0</v>
      </c>
      <c r="Z409" s="91">
        <v>0</v>
      </c>
      <c r="AA409" s="91">
        <v>0</v>
      </c>
      <c r="AB409" s="91">
        <v>0</v>
      </c>
      <c r="AC409" s="91">
        <v>0</v>
      </c>
      <c r="AD409" s="91">
        <v>0</v>
      </c>
      <c r="AE409" s="91">
        <v>0</v>
      </c>
      <c r="AF409" s="91">
        <v>0</v>
      </c>
      <c r="AG409" s="91">
        <v>0</v>
      </c>
      <c r="AH409" s="84">
        <v>1</v>
      </c>
      <c r="AI409" s="97">
        <f t="shared" si="6"/>
        <v>0</v>
      </c>
    </row>
    <row r="410" spans="1:35">
      <c r="A410" s="55" t="s">
        <v>575</v>
      </c>
      <c r="B410" s="91">
        <v>0</v>
      </c>
      <c r="C410" s="91">
        <v>0</v>
      </c>
      <c r="D410" s="91">
        <v>0</v>
      </c>
      <c r="E410" s="90">
        <v>0</v>
      </c>
      <c r="F410" s="91">
        <v>0</v>
      </c>
      <c r="G410" s="91">
        <v>0</v>
      </c>
      <c r="H410" s="91">
        <v>0</v>
      </c>
      <c r="I410" s="91">
        <v>0</v>
      </c>
      <c r="J410" s="91">
        <v>0</v>
      </c>
      <c r="K410" s="91">
        <v>0</v>
      </c>
      <c r="L410" s="91">
        <v>0</v>
      </c>
      <c r="M410" s="91">
        <v>0</v>
      </c>
      <c r="N410" s="91">
        <v>0</v>
      </c>
      <c r="O410" s="91">
        <v>0</v>
      </c>
      <c r="P410" s="91">
        <v>0</v>
      </c>
      <c r="Q410" s="91">
        <v>0</v>
      </c>
      <c r="R410" s="91">
        <v>0</v>
      </c>
      <c r="S410" s="91">
        <v>0</v>
      </c>
      <c r="T410" s="91">
        <v>0</v>
      </c>
      <c r="U410" s="91">
        <v>0</v>
      </c>
      <c r="V410" s="202">
        <v>0</v>
      </c>
      <c r="W410" s="91">
        <v>0</v>
      </c>
      <c r="X410" s="91">
        <v>0</v>
      </c>
      <c r="Y410" s="91">
        <v>0</v>
      </c>
      <c r="Z410" s="91">
        <v>0</v>
      </c>
      <c r="AA410" s="91">
        <v>0</v>
      </c>
      <c r="AB410" s="91">
        <v>0</v>
      </c>
      <c r="AC410" s="91">
        <v>0</v>
      </c>
      <c r="AD410" s="91">
        <v>0</v>
      </c>
      <c r="AE410" s="91">
        <v>0</v>
      </c>
      <c r="AF410" s="91">
        <v>0</v>
      </c>
      <c r="AG410" s="91">
        <v>0</v>
      </c>
      <c r="AH410" s="84">
        <v>1</v>
      </c>
      <c r="AI410" s="97">
        <f t="shared" si="6"/>
        <v>0</v>
      </c>
    </row>
    <row r="411" spans="1:35">
      <c r="A411" s="55" t="s">
        <v>576</v>
      </c>
      <c r="B411" s="91">
        <v>0</v>
      </c>
      <c r="C411" s="91">
        <v>0</v>
      </c>
      <c r="D411" s="91">
        <v>0</v>
      </c>
      <c r="E411" s="90">
        <v>0</v>
      </c>
      <c r="F411" s="91">
        <v>0</v>
      </c>
      <c r="G411" s="91">
        <v>0</v>
      </c>
      <c r="H411" s="91">
        <v>0</v>
      </c>
      <c r="I411" s="91">
        <v>0</v>
      </c>
      <c r="J411" s="91">
        <v>0</v>
      </c>
      <c r="K411" s="91">
        <v>0</v>
      </c>
      <c r="L411" s="91">
        <v>0</v>
      </c>
      <c r="M411" s="91">
        <v>0</v>
      </c>
      <c r="N411" s="91">
        <v>0</v>
      </c>
      <c r="O411" s="91">
        <v>0</v>
      </c>
      <c r="P411" s="91">
        <v>0</v>
      </c>
      <c r="Q411" s="91">
        <v>0</v>
      </c>
      <c r="R411" s="91">
        <v>0</v>
      </c>
      <c r="S411" s="91">
        <v>0</v>
      </c>
      <c r="T411" s="91">
        <v>0</v>
      </c>
      <c r="U411" s="91">
        <v>0</v>
      </c>
      <c r="V411" s="202">
        <v>0</v>
      </c>
      <c r="W411" s="91">
        <v>0</v>
      </c>
      <c r="X411" s="91">
        <v>0</v>
      </c>
      <c r="Y411" s="91">
        <v>0</v>
      </c>
      <c r="Z411" s="91">
        <v>0</v>
      </c>
      <c r="AA411" s="91">
        <v>0</v>
      </c>
      <c r="AB411" s="91">
        <v>0</v>
      </c>
      <c r="AC411" s="91">
        <v>0</v>
      </c>
      <c r="AD411" s="91">
        <v>0</v>
      </c>
      <c r="AE411" s="91">
        <v>0</v>
      </c>
      <c r="AF411" s="91">
        <v>0</v>
      </c>
      <c r="AG411" s="91">
        <v>0</v>
      </c>
      <c r="AH411" s="84">
        <v>1</v>
      </c>
      <c r="AI411" s="97">
        <f t="shared" si="6"/>
        <v>0</v>
      </c>
    </row>
    <row r="412" spans="1:35">
      <c r="A412" s="55" t="s">
        <v>577</v>
      </c>
      <c r="B412" s="91">
        <v>0</v>
      </c>
      <c r="C412" s="91">
        <v>0</v>
      </c>
      <c r="D412" s="91">
        <v>0</v>
      </c>
      <c r="E412" s="90">
        <v>0</v>
      </c>
      <c r="F412" s="91">
        <v>0</v>
      </c>
      <c r="G412" s="91">
        <v>0</v>
      </c>
      <c r="H412" s="91">
        <v>0</v>
      </c>
      <c r="I412" s="91">
        <v>0</v>
      </c>
      <c r="J412" s="91">
        <v>0</v>
      </c>
      <c r="K412" s="91">
        <v>0</v>
      </c>
      <c r="L412" s="91">
        <v>0</v>
      </c>
      <c r="M412" s="91">
        <v>0</v>
      </c>
      <c r="N412" s="91">
        <v>0</v>
      </c>
      <c r="O412" s="91">
        <v>0</v>
      </c>
      <c r="P412" s="91">
        <v>0</v>
      </c>
      <c r="Q412" s="91">
        <v>0</v>
      </c>
      <c r="R412" s="91">
        <v>0</v>
      </c>
      <c r="S412" s="91">
        <v>0</v>
      </c>
      <c r="T412" s="91">
        <v>0</v>
      </c>
      <c r="U412" s="91">
        <v>0</v>
      </c>
      <c r="V412" s="202">
        <v>0</v>
      </c>
      <c r="W412" s="91">
        <v>0</v>
      </c>
      <c r="X412" s="91">
        <v>0</v>
      </c>
      <c r="Y412" s="91">
        <v>0</v>
      </c>
      <c r="Z412" s="91">
        <v>0</v>
      </c>
      <c r="AA412" s="91">
        <v>0</v>
      </c>
      <c r="AB412" s="91">
        <v>0</v>
      </c>
      <c r="AC412" s="91">
        <v>0</v>
      </c>
      <c r="AD412" s="91">
        <v>0</v>
      </c>
      <c r="AE412" s="91">
        <v>0</v>
      </c>
      <c r="AF412" s="91">
        <v>0</v>
      </c>
      <c r="AG412" s="91">
        <v>0</v>
      </c>
      <c r="AH412" s="84">
        <v>1</v>
      </c>
      <c r="AI412" s="97">
        <f t="shared" si="6"/>
        <v>0</v>
      </c>
    </row>
    <row r="413" spans="1:35">
      <c r="A413" s="55" t="s">
        <v>578</v>
      </c>
      <c r="B413" s="91">
        <v>0</v>
      </c>
      <c r="C413" s="91">
        <v>0</v>
      </c>
      <c r="D413" s="91">
        <v>0</v>
      </c>
      <c r="E413" s="90">
        <v>0</v>
      </c>
      <c r="F413" s="91">
        <v>0</v>
      </c>
      <c r="G413" s="91">
        <v>0</v>
      </c>
      <c r="H413" s="91">
        <v>0</v>
      </c>
      <c r="I413" s="91">
        <v>0</v>
      </c>
      <c r="J413" s="91">
        <v>0</v>
      </c>
      <c r="K413" s="91">
        <v>0</v>
      </c>
      <c r="L413" s="91">
        <v>0</v>
      </c>
      <c r="M413" s="91">
        <v>0</v>
      </c>
      <c r="N413" s="91">
        <v>0</v>
      </c>
      <c r="O413" s="91">
        <v>0</v>
      </c>
      <c r="P413" s="91">
        <v>0</v>
      </c>
      <c r="Q413" s="91">
        <v>0</v>
      </c>
      <c r="R413" s="91">
        <v>0</v>
      </c>
      <c r="S413" s="91">
        <v>0</v>
      </c>
      <c r="T413" s="91">
        <v>0</v>
      </c>
      <c r="U413" s="91">
        <v>0</v>
      </c>
      <c r="V413" s="202">
        <v>0</v>
      </c>
      <c r="W413" s="91">
        <v>0</v>
      </c>
      <c r="X413" s="91">
        <v>0</v>
      </c>
      <c r="Y413" s="91">
        <v>0</v>
      </c>
      <c r="Z413" s="91">
        <v>0</v>
      </c>
      <c r="AA413" s="91">
        <v>0</v>
      </c>
      <c r="AB413" s="91">
        <v>0</v>
      </c>
      <c r="AC413" s="91">
        <v>0</v>
      </c>
      <c r="AD413" s="91">
        <v>0</v>
      </c>
      <c r="AE413" s="91">
        <v>0</v>
      </c>
      <c r="AF413" s="91">
        <v>0</v>
      </c>
      <c r="AG413" s="91">
        <v>0</v>
      </c>
      <c r="AH413" s="84">
        <v>1</v>
      </c>
      <c r="AI413" s="97">
        <f t="shared" si="6"/>
        <v>0</v>
      </c>
    </row>
    <row r="414" spans="1:35">
      <c r="A414" s="55" t="s">
        <v>579</v>
      </c>
      <c r="B414" s="91">
        <v>0</v>
      </c>
      <c r="C414" s="91">
        <v>0</v>
      </c>
      <c r="D414" s="91">
        <v>5</v>
      </c>
      <c r="E414" s="90">
        <v>6</v>
      </c>
      <c r="F414" s="91">
        <v>11483</v>
      </c>
      <c r="G414" s="91">
        <v>10331</v>
      </c>
      <c r="H414" s="91">
        <v>1490</v>
      </c>
      <c r="I414" s="91">
        <v>248.24999999999989</v>
      </c>
      <c r="J414" s="91">
        <v>-338</v>
      </c>
      <c r="K414" s="91">
        <v>12044</v>
      </c>
      <c r="L414" s="91">
        <v>10919</v>
      </c>
      <c r="M414" s="91">
        <v>10310</v>
      </c>
      <c r="N414" s="91">
        <v>12876</v>
      </c>
      <c r="O414" s="91">
        <v>1197</v>
      </c>
      <c r="P414" s="91">
        <v>337</v>
      </c>
      <c r="Q414" s="91">
        <v>0</v>
      </c>
      <c r="R414" s="91">
        <v>0</v>
      </c>
      <c r="S414" s="91">
        <v>-382</v>
      </c>
      <c r="T414" s="91">
        <v>0</v>
      </c>
      <c r="U414" s="91">
        <v>0</v>
      </c>
      <c r="V414" s="202">
        <v>0</v>
      </c>
      <c r="W414" s="91">
        <v>-44</v>
      </c>
      <c r="X414" s="91">
        <v>0</v>
      </c>
      <c r="Y414" s="91">
        <v>338</v>
      </c>
      <c r="Z414" s="91">
        <v>0</v>
      </c>
      <c r="AA414" s="91">
        <v>0</v>
      </c>
      <c r="AB414" s="91">
        <v>-44</v>
      </c>
      <c r="AC414" s="91">
        <v>-44</v>
      </c>
      <c r="AD414" s="91">
        <v>-44</v>
      </c>
      <c r="AE414" s="91">
        <v>-44</v>
      </c>
      <c r="AF414" s="91">
        <v>-44</v>
      </c>
      <c r="AG414" s="91">
        <v>-118</v>
      </c>
      <c r="AH414" s="84">
        <v>8.6999999999999993</v>
      </c>
      <c r="AI414" s="97">
        <f t="shared" si="6"/>
        <v>1152</v>
      </c>
    </row>
    <row r="415" spans="1:35">
      <c r="A415" s="55" t="s">
        <v>580</v>
      </c>
      <c r="B415" s="91">
        <v>0</v>
      </c>
      <c r="C415" s="91">
        <v>0</v>
      </c>
      <c r="D415" s="91">
        <v>713</v>
      </c>
      <c r="E415" s="90">
        <v>748</v>
      </c>
      <c r="F415" s="91">
        <v>323440</v>
      </c>
      <c r="G415" s="91">
        <v>291608</v>
      </c>
      <c r="H415" s="91">
        <v>46629</v>
      </c>
      <c r="I415" s="91">
        <v>2390.1299999999947</v>
      </c>
      <c r="J415" s="91">
        <v>-14797</v>
      </c>
      <c r="K415" s="91">
        <v>349453</v>
      </c>
      <c r="L415" s="91">
        <v>299011</v>
      </c>
      <c r="M415" s="91">
        <v>282892</v>
      </c>
      <c r="N415" s="91">
        <v>371689</v>
      </c>
      <c r="O415" s="91">
        <v>38579</v>
      </c>
      <c r="P415" s="91">
        <v>9641</v>
      </c>
      <c r="Q415" s="91">
        <v>0</v>
      </c>
      <c r="R415" s="91">
        <v>0</v>
      </c>
      <c r="S415" s="91">
        <v>-16388</v>
      </c>
      <c r="T415" s="91">
        <v>0</v>
      </c>
      <c r="U415" s="91">
        <v>0</v>
      </c>
      <c r="V415" s="202">
        <v>0</v>
      </c>
      <c r="W415" s="91">
        <v>-1591</v>
      </c>
      <c r="X415" s="91">
        <v>0</v>
      </c>
      <c r="Y415" s="91">
        <v>14797</v>
      </c>
      <c r="Z415" s="91">
        <v>0</v>
      </c>
      <c r="AA415" s="91">
        <v>0</v>
      </c>
      <c r="AB415" s="91">
        <v>-1591</v>
      </c>
      <c r="AC415" s="91">
        <v>-1591</v>
      </c>
      <c r="AD415" s="91">
        <v>-1591</v>
      </c>
      <c r="AE415" s="91">
        <v>-1591</v>
      </c>
      <c r="AF415" s="91">
        <v>-1591</v>
      </c>
      <c r="AG415" s="91">
        <v>-6842</v>
      </c>
      <c r="AH415" s="84">
        <v>10.3</v>
      </c>
      <c r="AI415" s="97">
        <f t="shared" si="6"/>
        <v>31832</v>
      </c>
    </row>
    <row r="416" spans="1:35">
      <c r="A416" s="55" t="s">
        <v>581</v>
      </c>
      <c r="B416" s="91">
        <v>0</v>
      </c>
      <c r="C416" s="91">
        <v>0</v>
      </c>
      <c r="D416" s="91">
        <v>0</v>
      </c>
      <c r="E416" s="90">
        <v>0</v>
      </c>
      <c r="F416" s="91">
        <v>0</v>
      </c>
      <c r="G416" s="91">
        <v>0</v>
      </c>
      <c r="H416" s="91">
        <v>0</v>
      </c>
      <c r="I416" s="91">
        <v>0</v>
      </c>
      <c r="J416" s="91">
        <v>0</v>
      </c>
      <c r="K416" s="91">
        <v>0</v>
      </c>
      <c r="L416" s="91">
        <v>0</v>
      </c>
      <c r="M416" s="91">
        <v>0</v>
      </c>
      <c r="N416" s="91">
        <v>0</v>
      </c>
      <c r="O416" s="91">
        <v>0</v>
      </c>
      <c r="P416" s="91">
        <v>0</v>
      </c>
      <c r="Q416" s="91">
        <v>0</v>
      </c>
      <c r="R416" s="91">
        <v>0</v>
      </c>
      <c r="S416" s="91">
        <v>0</v>
      </c>
      <c r="T416" s="91">
        <v>0</v>
      </c>
      <c r="U416" s="91">
        <v>0</v>
      </c>
      <c r="V416" s="202">
        <v>0</v>
      </c>
      <c r="W416" s="91">
        <v>0</v>
      </c>
      <c r="X416" s="91">
        <v>0</v>
      </c>
      <c r="Y416" s="91">
        <v>0</v>
      </c>
      <c r="Z416" s="91">
        <v>0</v>
      </c>
      <c r="AA416" s="91">
        <v>0</v>
      </c>
      <c r="AB416" s="91">
        <v>0</v>
      </c>
      <c r="AC416" s="91">
        <v>0</v>
      </c>
      <c r="AD416" s="91">
        <v>0</v>
      </c>
      <c r="AE416" s="91">
        <v>0</v>
      </c>
      <c r="AF416" s="91">
        <v>0</v>
      </c>
      <c r="AG416" s="91">
        <v>0</v>
      </c>
      <c r="AH416" s="84">
        <v>1</v>
      </c>
      <c r="AI416" s="97">
        <f t="shared" si="6"/>
        <v>0</v>
      </c>
    </row>
    <row r="417" spans="1:35" ht="22.5">
      <c r="A417" s="55" t="s">
        <v>582</v>
      </c>
      <c r="B417" s="91">
        <v>0</v>
      </c>
      <c r="C417" s="91">
        <v>0</v>
      </c>
      <c r="D417" s="91">
        <v>126</v>
      </c>
      <c r="E417" s="90">
        <v>128</v>
      </c>
      <c r="F417" s="91">
        <v>108483</v>
      </c>
      <c r="G417" s="91">
        <v>95336</v>
      </c>
      <c r="H417" s="91">
        <v>18904</v>
      </c>
      <c r="I417" s="91">
        <v>45.149999999999693</v>
      </c>
      <c r="J417" s="91">
        <v>-5757</v>
      </c>
      <c r="K417" s="91">
        <v>118360</v>
      </c>
      <c r="L417" s="91">
        <v>99373</v>
      </c>
      <c r="M417" s="91">
        <v>93933</v>
      </c>
      <c r="N417" s="91">
        <v>125871</v>
      </c>
      <c r="O417" s="91">
        <v>16328</v>
      </c>
      <c r="P417" s="91">
        <v>3261</v>
      </c>
      <c r="Q417" s="91">
        <v>0</v>
      </c>
      <c r="R417" s="91">
        <v>0</v>
      </c>
      <c r="S417" s="91">
        <v>-6442</v>
      </c>
      <c r="T417" s="91">
        <v>0</v>
      </c>
      <c r="U417" s="91">
        <v>0</v>
      </c>
      <c r="V417" s="202">
        <v>0</v>
      </c>
      <c r="W417" s="91">
        <v>-685</v>
      </c>
      <c r="X417" s="91">
        <v>0</v>
      </c>
      <c r="Y417" s="91">
        <v>5757</v>
      </c>
      <c r="Z417" s="91">
        <v>0</v>
      </c>
      <c r="AA417" s="91">
        <v>0</v>
      </c>
      <c r="AB417" s="91">
        <v>-685</v>
      </c>
      <c r="AC417" s="91">
        <v>-685</v>
      </c>
      <c r="AD417" s="91">
        <v>-685</v>
      </c>
      <c r="AE417" s="91">
        <v>-685</v>
      </c>
      <c r="AF417" s="91">
        <v>-685</v>
      </c>
      <c r="AG417" s="91">
        <v>-2332</v>
      </c>
      <c r="AH417" s="84">
        <v>9.4</v>
      </c>
      <c r="AI417" s="97">
        <f t="shared" si="6"/>
        <v>13147</v>
      </c>
    </row>
    <row r="418" spans="1:35">
      <c r="A418" s="55" t="s">
        <v>583</v>
      </c>
      <c r="B418" s="91">
        <v>0</v>
      </c>
      <c r="C418" s="91">
        <v>0</v>
      </c>
      <c r="D418" s="91">
        <v>110</v>
      </c>
      <c r="E418" s="90">
        <v>119</v>
      </c>
      <c r="F418" s="91">
        <v>133299</v>
      </c>
      <c r="G418" s="91">
        <v>120682</v>
      </c>
      <c r="H418" s="91">
        <v>20010</v>
      </c>
      <c r="I418" s="91">
        <v>1108.52</v>
      </c>
      <c r="J418" s="91">
        <v>-7393</v>
      </c>
      <c r="K418" s="91">
        <v>146228</v>
      </c>
      <c r="L418" s="91">
        <v>121372</v>
      </c>
      <c r="M418" s="91">
        <v>114475</v>
      </c>
      <c r="N418" s="91">
        <v>156367</v>
      </c>
      <c r="O418" s="91">
        <v>16767</v>
      </c>
      <c r="P418" s="91">
        <v>4013</v>
      </c>
      <c r="Q418" s="91">
        <v>0</v>
      </c>
      <c r="R418" s="91">
        <v>0</v>
      </c>
      <c r="S418" s="91">
        <v>-8163</v>
      </c>
      <c r="T418" s="91">
        <v>0</v>
      </c>
      <c r="U418" s="91">
        <v>0</v>
      </c>
      <c r="V418" s="202">
        <v>0</v>
      </c>
      <c r="W418" s="91">
        <v>-770</v>
      </c>
      <c r="X418" s="91">
        <v>0</v>
      </c>
      <c r="Y418" s="91">
        <v>7393</v>
      </c>
      <c r="Z418" s="91">
        <v>0</v>
      </c>
      <c r="AA418" s="91">
        <v>0</v>
      </c>
      <c r="AB418" s="91">
        <v>-770</v>
      </c>
      <c r="AC418" s="91">
        <v>-770</v>
      </c>
      <c r="AD418" s="91">
        <v>-770</v>
      </c>
      <c r="AE418" s="91">
        <v>-770</v>
      </c>
      <c r="AF418" s="91">
        <v>-770</v>
      </c>
      <c r="AG418" s="91">
        <v>-3543</v>
      </c>
      <c r="AH418" s="84">
        <v>10.6</v>
      </c>
      <c r="AI418" s="97">
        <f t="shared" si="6"/>
        <v>12617</v>
      </c>
    </row>
    <row r="419" spans="1:35" ht="22.5">
      <c r="A419" s="55" t="s">
        <v>584</v>
      </c>
      <c r="B419" s="91">
        <v>0</v>
      </c>
      <c r="C419" s="91">
        <v>0</v>
      </c>
      <c r="D419" s="91">
        <v>14</v>
      </c>
      <c r="E419" s="90">
        <v>16</v>
      </c>
      <c r="F419" s="91">
        <v>43820</v>
      </c>
      <c r="G419" s="91">
        <v>39827</v>
      </c>
      <c r="H419" s="91">
        <v>5490</v>
      </c>
      <c r="I419" s="91">
        <v>454.90999999999985</v>
      </c>
      <c r="J419" s="91">
        <v>-1497</v>
      </c>
      <c r="K419" s="91">
        <v>46581</v>
      </c>
      <c r="L419" s="91">
        <v>41208</v>
      </c>
      <c r="M419" s="91">
        <v>39744</v>
      </c>
      <c r="N419" s="91">
        <v>48553</v>
      </c>
      <c r="O419" s="91">
        <v>4455</v>
      </c>
      <c r="P419" s="91">
        <v>1293</v>
      </c>
      <c r="Q419" s="91">
        <v>0</v>
      </c>
      <c r="R419" s="91">
        <v>0</v>
      </c>
      <c r="S419" s="91">
        <v>-1755</v>
      </c>
      <c r="T419" s="91">
        <v>0</v>
      </c>
      <c r="U419" s="91">
        <v>0</v>
      </c>
      <c r="V419" s="202">
        <v>0</v>
      </c>
      <c r="W419" s="91">
        <v>-258</v>
      </c>
      <c r="X419" s="91">
        <v>0</v>
      </c>
      <c r="Y419" s="91">
        <v>1497</v>
      </c>
      <c r="Z419" s="91">
        <v>0</v>
      </c>
      <c r="AA419" s="91">
        <v>0</v>
      </c>
      <c r="AB419" s="91">
        <v>-258</v>
      </c>
      <c r="AC419" s="91">
        <v>-258</v>
      </c>
      <c r="AD419" s="91">
        <v>-258</v>
      </c>
      <c r="AE419" s="91">
        <v>-258</v>
      </c>
      <c r="AF419" s="91">
        <v>-258</v>
      </c>
      <c r="AG419" s="91">
        <v>-207</v>
      </c>
      <c r="AH419" s="84">
        <v>6.8</v>
      </c>
      <c r="AI419" s="97">
        <f t="shared" si="6"/>
        <v>3993</v>
      </c>
    </row>
    <row r="420" spans="1:35">
      <c r="A420" s="55" t="s">
        <v>585</v>
      </c>
      <c r="B420" s="91">
        <v>0</v>
      </c>
      <c r="C420" s="91">
        <v>0</v>
      </c>
      <c r="D420" s="91">
        <v>0</v>
      </c>
      <c r="E420" s="90">
        <v>0</v>
      </c>
      <c r="F420" s="91">
        <v>0</v>
      </c>
      <c r="G420" s="91">
        <v>0</v>
      </c>
      <c r="H420" s="91">
        <v>0</v>
      </c>
      <c r="I420" s="91">
        <v>0</v>
      </c>
      <c r="J420" s="91">
        <v>0</v>
      </c>
      <c r="K420" s="91">
        <v>0</v>
      </c>
      <c r="L420" s="91">
        <v>0</v>
      </c>
      <c r="M420" s="91">
        <v>0</v>
      </c>
      <c r="N420" s="91">
        <v>0</v>
      </c>
      <c r="O420" s="91">
        <v>0</v>
      </c>
      <c r="P420" s="91">
        <v>0</v>
      </c>
      <c r="Q420" s="91">
        <v>0</v>
      </c>
      <c r="R420" s="91">
        <v>0</v>
      </c>
      <c r="S420" s="91">
        <v>0</v>
      </c>
      <c r="T420" s="91">
        <v>0</v>
      </c>
      <c r="U420" s="91">
        <v>0</v>
      </c>
      <c r="V420" s="202">
        <v>0</v>
      </c>
      <c r="W420" s="91">
        <v>0</v>
      </c>
      <c r="X420" s="91">
        <v>0</v>
      </c>
      <c r="Y420" s="91">
        <v>0</v>
      </c>
      <c r="Z420" s="91">
        <v>0</v>
      </c>
      <c r="AA420" s="91">
        <v>0</v>
      </c>
      <c r="AB420" s="91">
        <v>0</v>
      </c>
      <c r="AC420" s="91">
        <v>0</v>
      </c>
      <c r="AD420" s="91">
        <v>0</v>
      </c>
      <c r="AE420" s="91">
        <v>0</v>
      </c>
      <c r="AF420" s="91">
        <v>0</v>
      </c>
      <c r="AG420" s="91">
        <v>0</v>
      </c>
      <c r="AH420" s="84">
        <v>1</v>
      </c>
      <c r="AI420" s="97">
        <f t="shared" si="6"/>
        <v>0</v>
      </c>
    </row>
    <row r="421" spans="1:35">
      <c r="A421" s="55" t="s">
        <v>586</v>
      </c>
      <c r="B421" s="91">
        <v>0</v>
      </c>
      <c r="C421" s="91">
        <v>0</v>
      </c>
      <c r="D421" s="91">
        <v>0</v>
      </c>
      <c r="E421" s="90">
        <v>0</v>
      </c>
      <c r="F421" s="91">
        <v>0</v>
      </c>
      <c r="G421" s="91">
        <v>0</v>
      </c>
      <c r="H421" s="91">
        <v>0</v>
      </c>
      <c r="I421" s="91">
        <v>0</v>
      </c>
      <c r="J421" s="91">
        <v>0</v>
      </c>
      <c r="K421" s="91">
        <v>0</v>
      </c>
      <c r="L421" s="91">
        <v>0</v>
      </c>
      <c r="M421" s="91">
        <v>0</v>
      </c>
      <c r="N421" s="91">
        <v>0</v>
      </c>
      <c r="O421" s="91">
        <v>0</v>
      </c>
      <c r="P421" s="91">
        <v>0</v>
      </c>
      <c r="Q421" s="91">
        <v>0</v>
      </c>
      <c r="R421" s="91">
        <v>0</v>
      </c>
      <c r="S421" s="91">
        <v>0</v>
      </c>
      <c r="T421" s="91">
        <v>0</v>
      </c>
      <c r="U421" s="91">
        <v>0</v>
      </c>
      <c r="V421" s="202">
        <v>0</v>
      </c>
      <c r="W421" s="91">
        <v>0</v>
      </c>
      <c r="X421" s="91">
        <v>0</v>
      </c>
      <c r="Y421" s="91">
        <v>0</v>
      </c>
      <c r="Z421" s="91">
        <v>0</v>
      </c>
      <c r="AA421" s="91">
        <v>0</v>
      </c>
      <c r="AB421" s="91">
        <v>0</v>
      </c>
      <c r="AC421" s="91">
        <v>0</v>
      </c>
      <c r="AD421" s="91">
        <v>0</v>
      </c>
      <c r="AE421" s="91">
        <v>0</v>
      </c>
      <c r="AF421" s="91">
        <v>0</v>
      </c>
      <c r="AG421" s="91">
        <v>0</v>
      </c>
      <c r="AH421" s="84">
        <v>1</v>
      </c>
      <c r="AI421" s="97">
        <f t="shared" si="6"/>
        <v>0</v>
      </c>
    </row>
    <row r="422" spans="1:35">
      <c r="A422" s="55" t="s">
        <v>587</v>
      </c>
      <c r="B422" s="91">
        <v>0</v>
      </c>
      <c r="C422" s="91">
        <v>0</v>
      </c>
      <c r="D422" s="91">
        <v>35</v>
      </c>
      <c r="E422" s="90">
        <v>40</v>
      </c>
      <c r="F422" s="91">
        <v>82447</v>
      </c>
      <c r="G422" s="91">
        <v>78130</v>
      </c>
      <c r="H422" s="91">
        <v>7948</v>
      </c>
      <c r="I422" s="91">
        <v>557.99</v>
      </c>
      <c r="J422" s="91">
        <v>-3631</v>
      </c>
      <c r="K422" s="91">
        <v>88892</v>
      </c>
      <c r="L422" s="91">
        <v>76283</v>
      </c>
      <c r="M422" s="91">
        <v>72112</v>
      </c>
      <c r="N422" s="91">
        <v>94583</v>
      </c>
      <c r="O422" s="91">
        <v>5926</v>
      </c>
      <c r="P422" s="91">
        <v>2454</v>
      </c>
      <c r="Q422" s="91">
        <v>0</v>
      </c>
      <c r="R422" s="91">
        <v>0</v>
      </c>
      <c r="S422" s="91">
        <v>-4063</v>
      </c>
      <c r="T422" s="91">
        <v>0</v>
      </c>
      <c r="U422" s="91">
        <v>0</v>
      </c>
      <c r="V422" s="202">
        <v>0</v>
      </c>
      <c r="W422" s="91">
        <v>-432</v>
      </c>
      <c r="X422" s="91">
        <v>0</v>
      </c>
      <c r="Y422" s="91">
        <v>3631</v>
      </c>
      <c r="Z422" s="91">
        <v>0</v>
      </c>
      <c r="AA422" s="91">
        <v>0</v>
      </c>
      <c r="AB422" s="91">
        <v>-432</v>
      </c>
      <c r="AC422" s="91">
        <v>-432</v>
      </c>
      <c r="AD422" s="91">
        <v>-432</v>
      </c>
      <c r="AE422" s="91">
        <v>-432</v>
      </c>
      <c r="AF422" s="91">
        <v>-432</v>
      </c>
      <c r="AG422" s="91">
        <v>-1471</v>
      </c>
      <c r="AH422" s="84">
        <v>9.4</v>
      </c>
      <c r="AI422" s="97">
        <f t="shared" si="6"/>
        <v>4317</v>
      </c>
    </row>
    <row r="423" spans="1:35" ht="22.5">
      <c r="A423" s="55" t="s">
        <v>588</v>
      </c>
      <c r="B423" s="91">
        <v>0</v>
      </c>
      <c r="C423" s="91">
        <v>0</v>
      </c>
      <c r="D423" s="91">
        <v>0</v>
      </c>
      <c r="E423" s="90">
        <v>0</v>
      </c>
      <c r="F423" s="91">
        <v>0</v>
      </c>
      <c r="G423" s="91">
        <v>0</v>
      </c>
      <c r="H423" s="91">
        <v>0</v>
      </c>
      <c r="I423" s="91">
        <v>0</v>
      </c>
      <c r="J423" s="91">
        <v>0</v>
      </c>
      <c r="K423" s="91">
        <v>0</v>
      </c>
      <c r="L423" s="91">
        <v>0</v>
      </c>
      <c r="M423" s="91">
        <v>0</v>
      </c>
      <c r="N423" s="91">
        <v>0</v>
      </c>
      <c r="O423" s="91">
        <v>0</v>
      </c>
      <c r="P423" s="91">
        <v>0</v>
      </c>
      <c r="Q423" s="91">
        <v>0</v>
      </c>
      <c r="R423" s="91">
        <v>0</v>
      </c>
      <c r="S423" s="91">
        <v>0</v>
      </c>
      <c r="T423" s="91">
        <v>0</v>
      </c>
      <c r="U423" s="91">
        <v>0</v>
      </c>
      <c r="V423" s="202">
        <v>0</v>
      </c>
      <c r="W423" s="91">
        <v>0</v>
      </c>
      <c r="X423" s="91">
        <v>0</v>
      </c>
      <c r="Y423" s="91">
        <v>0</v>
      </c>
      <c r="Z423" s="91">
        <v>0</v>
      </c>
      <c r="AA423" s="91">
        <v>0</v>
      </c>
      <c r="AB423" s="91">
        <v>0</v>
      </c>
      <c r="AC423" s="91">
        <v>0</v>
      </c>
      <c r="AD423" s="91">
        <v>0</v>
      </c>
      <c r="AE423" s="91">
        <v>0</v>
      </c>
      <c r="AF423" s="91">
        <v>0</v>
      </c>
      <c r="AG423" s="91">
        <v>0</v>
      </c>
      <c r="AH423" s="84">
        <v>1</v>
      </c>
      <c r="AI423" s="97">
        <f t="shared" si="6"/>
        <v>0</v>
      </c>
    </row>
    <row r="424" spans="1:35" ht="22.5">
      <c r="A424" s="55" t="s">
        <v>589</v>
      </c>
      <c r="B424" s="91">
        <v>0</v>
      </c>
      <c r="C424" s="91">
        <v>0</v>
      </c>
      <c r="D424" s="91">
        <v>0</v>
      </c>
      <c r="E424" s="90">
        <v>0</v>
      </c>
      <c r="F424" s="91">
        <v>0</v>
      </c>
      <c r="G424" s="91">
        <v>0</v>
      </c>
      <c r="H424" s="91">
        <v>0</v>
      </c>
      <c r="I424" s="91">
        <v>0</v>
      </c>
      <c r="J424" s="91">
        <v>0</v>
      </c>
      <c r="K424" s="91">
        <v>0</v>
      </c>
      <c r="L424" s="91">
        <v>0</v>
      </c>
      <c r="M424" s="91">
        <v>0</v>
      </c>
      <c r="N424" s="91">
        <v>0</v>
      </c>
      <c r="O424" s="91">
        <v>0</v>
      </c>
      <c r="P424" s="91">
        <v>0</v>
      </c>
      <c r="Q424" s="91">
        <v>0</v>
      </c>
      <c r="R424" s="91">
        <v>0</v>
      </c>
      <c r="S424" s="91">
        <v>0</v>
      </c>
      <c r="T424" s="91">
        <v>0</v>
      </c>
      <c r="U424" s="91">
        <v>0</v>
      </c>
      <c r="V424" s="202">
        <v>0</v>
      </c>
      <c r="W424" s="91">
        <v>0</v>
      </c>
      <c r="X424" s="91">
        <v>0</v>
      </c>
      <c r="Y424" s="91">
        <v>0</v>
      </c>
      <c r="Z424" s="91">
        <v>0</v>
      </c>
      <c r="AA424" s="91">
        <v>0</v>
      </c>
      <c r="AB424" s="91">
        <v>0</v>
      </c>
      <c r="AC424" s="91">
        <v>0</v>
      </c>
      <c r="AD424" s="91">
        <v>0</v>
      </c>
      <c r="AE424" s="91">
        <v>0</v>
      </c>
      <c r="AF424" s="91">
        <v>0</v>
      </c>
      <c r="AG424" s="91">
        <v>0</v>
      </c>
      <c r="AH424" s="84">
        <v>1</v>
      </c>
      <c r="AI424" s="97">
        <f t="shared" si="6"/>
        <v>0</v>
      </c>
    </row>
    <row r="425" spans="1:35">
      <c r="A425" s="55" t="s">
        <v>590</v>
      </c>
      <c r="B425" s="91">
        <v>0</v>
      </c>
      <c r="C425" s="91">
        <v>0</v>
      </c>
      <c r="D425" s="91">
        <v>20</v>
      </c>
      <c r="E425" s="90">
        <v>26</v>
      </c>
      <c r="F425" s="91">
        <v>59752</v>
      </c>
      <c r="G425" s="91">
        <v>56329</v>
      </c>
      <c r="H425" s="91">
        <v>5552</v>
      </c>
      <c r="I425" s="91">
        <v>474.95999999999981</v>
      </c>
      <c r="J425" s="91">
        <v>-2129</v>
      </c>
      <c r="K425" s="91">
        <v>63578</v>
      </c>
      <c r="L425" s="91">
        <v>55918</v>
      </c>
      <c r="M425" s="91">
        <v>53389</v>
      </c>
      <c r="N425" s="91">
        <v>66985</v>
      </c>
      <c r="O425" s="91">
        <v>4100</v>
      </c>
      <c r="P425" s="91">
        <v>1765</v>
      </c>
      <c r="Q425" s="91">
        <v>0</v>
      </c>
      <c r="R425" s="91">
        <v>0</v>
      </c>
      <c r="S425" s="91">
        <v>-2442</v>
      </c>
      <c r="T425" s="91">
        <v>0</v>
      </c>
      <c r="U425" s="91">
        <v>0</v>
      </c>
      <c r="V425" s="202">
        <v>0</v>
      </c>
      <c r="W425" s="91">
        <v>-313</v>
      </c>
      <c r="X425" s="91">
        <v>0</v>
      </c>
      <c r="Y425" s="91">
        <v>2129</v>
      </c>
      <c r="Z425" s="91">
        <v>0</v>
      </c>
      <c r="AA425" s="91">
        <v>0</v>
      </c>
      <c r="AB425" s="91">
        <v>-313</v>
      </c>
      <c r="AC425" s="91">
        <v>-313</v>
      </c>
      <c r="AD425" s="91">
        <v>-313</v>
      </c>
      <c r="AE425" s="91">
        <v>-313</v>
      </c>
      <c r="AF425" s="91">
        <v>-313</v>
      </c>
      <c r="AG425" s="91">
        <v>-564</v>
      </c>
      <c r="AH425" s="84">
        <v>7.8</v>
      </c>
      <c r="AI425" s="97">
        <f t="shared" si="6"/>
        <v>3423</v>
      </c>
    </row>
    <row r="426" spans="1:35">
      <c r="A426" s="55" t="s">
        <v>591</v>
      </c>
      <c r="B426" s="91">
        <v>0</v>
      </c>
      <c r="C426" s="91">
        <v>0</v>
      </c>
      <c r="D426" s="91">
        <v>0</v>
      </c>
      <c r="E426" s="90">
        <v>0</v>
      </c>
      <c r="F426" s="91">
        <v>0</v>
      </c>
      <c r="G426" s="91">
        <v>0</v>
      </c>
      <c r="H426" s="91">
        <v>0</v>
      </c>
      <c r="I426" s="91">
        <v>0</v>
      </c>
      <c r="J426" s="91">
        <v>0</v>
      </c>
      <c r="K426" s="91">
        <v>0</v>
      </c>
      <c r="L426" s="91">
        <v>0</v>
      </c>
      <c r="M426" s="91">
        <v>0</v>
      </c>
      <c r="N426" s="91">
        <v>0</v>
      </c>
      <c r="O426" s="91">
        <v>0</v>
      </c>
      <c r="P426" s="91">
        <v>0</v>
      </c>
      <c r="Q426" s="91">
        <v>0</v>
      </c>
      <c r="R426" s="91">
        <v>0</v>
      </c>
      <c r="S426" s="91">
        <v>0</v>
      </c>
      <c r="T426" s="91">
        <v>0</v>
      </c>
      <c r="U426" s="91">
        <v>0</v>
      </c>
      <c r="V426" s="202">
        <v>0</v>
      </c>
      <c r="W426" s="91">
        <v>0</v>
      </c>
      <c r="X426" s="91">
        <v>0</v>
      </c>
      <c r="Y426" s="91">
        <v>0</v>
      </c>
      <c r="Z426" s="91">
        <v>0</v>
      </c>
      <c r="AA426" s="91">
        <v>0</v>
      </c>
      <c r="AB426" s="91">
        <v>0</v>
      </c>
      <c r="AC426" s="91">
        <v>0</v>
      </c>
      <c r="AD426" s="91">
        <v>0</v>
      </c>
      <c r="AE426" s="91">
        <v>0</v>
      </c>
      <c r="AF426" s="91">
        <v>0</v>
      </c>
      <c r="AG426" s="91">
        <v>0</v>
      </c>
      <c r="AH426" s="84">
        <v>1</v>
      </c>
      <c r="AI426" s="97">
        <f t="shared" si="6"/>
        <v>0</v>
      </c>
    </row>
    <row r="427" spans="1:35" ht="22.5">
      <c r="A427" s="55" t="s">
        <v>592</v>
      </c>
      <c r="B427" s="91">
        <v>0</v>
      </c>
      <c r="C427" s="91">
        <v>0</v>
      </c>
      <c r="D427" s="91">
        <v>3</v>
      </c>
      <c r="E427" s="90">
        <v>3</v>
      </c>
      <c r="F427" s="91">
        <v>5921</v>
      </c>
      <c r="G427" s="91">
        <v>5598</v>
      </c>
      <c r="H427" s="91">
        <v>793</v>
      </c>
      <c r="I427" s="91">
        <v>0.1800000000000006</v>
      </c>
      <c r="J427" s="91">
        <v>-470</v>
      </c>
      <c r="K427" s="91">
        <v>6758</v>
      </c>
      <c r="L427" s="91">
        <v>5142</v>
      </c>
      <c r="M427" s="91">
        <v>4811</v>
      </c>
      <c r="N427" s="91">
        <v>7268</v>
      </c>
      <c r="O427" s="91">
        <v>663</v>
      </c>
      <c r="P427" s="91">
        <v>183</v>
      </c>
      <c r="Q427" s="91">
        <v>0</v>
      </c>
      <c r="R427" s="91">
        <v>0</v>
      </c>
      <c r="S427" s="91">
        <v>-523</v>
      </c>
      <c r="T427" s="91">
        <v>0</v>
      </c>
      <c r="U427" s="91">
        <v>0</v>
      </c>
      <c r="V427" s="202">
        <v>0</v>
      </c>
      <c r="W427" s="91">
        <v>-53</v>
      </c>
      <c r="X427" s="91">
        <v>0</v>
      </c>
      <c r="Y427" s="91">
        <v>470</v>
      </c>
      <c r="Z427" s="91">
        <v>0</v>
      </c>
      <c r="AA427" s="91">
        <v>0</v>
      </c>
      <c r="AB427" s="91">
        <v>-53</v>
      </c>
      <c r="AC427" s="91">
        <v>-53</v>
      </c>
      <c r="AD427" s="91">
        <v>-53</v>
      </c>
      <c r="AE427" s="91">
        <v>-53</v>
      </c>
      <c r="AF427" s="91">
        <v>-53</v>
      </c>
      <c r="AG427" s="91">
        <v>-205</v>
      </c>
      <c r="AH427" s="84">
        <v>9.8000000000000007</v>
      </c>
      <c r="AI427" s="97">
        <f t="shared" si="6"/>
        <v>323</v>
      </c>
    </row>
    <row r="428" spans="1:35">
      <c r="A428" s="55" t="s">
        <v>593</v>
      </c>
      <c r="B428" s="91">
        <v>0</v>
      </c>
      <c r="C428" s="91">
        <v>0</v>
      </c>
      <c r="D428" s="91">
        <v>284</v>
      </c>
      <c r="E428" s="90">
        <v>316</v>
      </c>
      <c r="F428" s="91">
        <v>212945</v>
      </c>
      <c r="G428" s="91">
        <v>183082</v>
      </c>
      <c r="H428" s="91">
        <v>39191</v>
      </c>
      <c r="I428" s="91">
        <v>1959.2699999999913</v>
      </c>
      <c r="J428" s="91">
        <v>-9328</v>
      </c>
      <c r="K428" s="91">
        <v>229448</v>
      </c>
      <c r="L428" s="91">
        <v>197452</v>
      </c>
      <c r="M428" s="91">
        <v>186608</v>
      </c>
      <c r="N428" s="91">
        <v>244278</v>
      </c>
      <c r="O428" s="91">
        <v>33915</v>
      </c>
      <c r="P428" s="91">
        <v>6336</v>
      </c>
      <c r="Q428" s="91">
        <v>0</v>
      </c>
      <c r="R428" s="91">
        <v>0</v>
      </c>
      <c r="S428" s="91">
        <v>-10388</v>
      </c>
      <c r="T428" s="91">
        <v>0</v>
      </c>
      <c r="U428" s="91">
        <v>0</v>
      </c>
      <c r="V428" s="202">
        <v>0</v>
      </c>
      <c r="W428" s="91">
        <v>-1060</v>
      </c>
      <c r="X428" s="91">
        <v>0</v>
      </c>
      <c r="Y428" s="91">
        <v>9328</v>
      </c>
      <c r="Z428" s="91">
        <v>0</v>
      </c>
      <c r="AA428" s="91">
        <v>0</v>
      </c>
      <c r="AB428" s="91">
        <v>-1060</v>
      </c>
      <c r="AC428" s="91">
        <v>-1060</v>
      </c>
      <c r="AD428" s="91">
        <v>-1060</v>
      </c>
      <c r="AE428" s="91">
        <v>-1060</v>
      </c>
      <c r="AF428" s="91">
        <v>-1060</v>
      </c>
      <c r="AG428" s="91">
        <v>-4028</v>
      </c>
      <c r="AH428" s="84">
        <v>9.8000000000000007</v>
      </c>
      <c r="AI428" s="97">
        <f t="shared" si="6"/>
        <v>29863</v>
      </c>
    </row>
    <row r="429" spans="1:35" ht="22.5">
      <c r="A429" s="55" t="s">
        <v>594</v>
      </c>
      <c r="B429" s="91">
        <v>1</v>
      </c>
      <c r="C429" s="91">
        <v>0</v>
      </c>
      <c r="D429" s="91">
        <v>56</v>
      </c>
      <c r="E429" s="90">
        <v>58</v>
      </c>
      <c r="F429" s="91">
        <v>144291</v>
      </c>
      <c r="G429" s="91">
        <v>139597</v>
      </c>
      <c r="H429" s="91">
        <v>14239</v>
      </c>
      <c r="I429" s="91">
        <v>4072.8499999999985</v>
      </c>
      <c r="J429" s="91">
        <v>-6533</v>
      </c>
      <c r="K429" s="91">
        <v>155678</v>
      </c>
      <c r="L429" s="91">
        <v>133483</v>
      </c>
      <c r="M429" s="91">
        <v>127067</v>
      </c>
      <c r="N429" s="91">
        <v>164722</v>
      </c>
      <c r="O429" s="91">
        <v>10638</v>
      </c>
      <c r="P429" s="91">
        <v>4343</v>
      </c>
      <c r="Q429" s="91">
        <v>0</v>
      </c>
      <c r="R429" s="91">
        <v>0</v>
      </c>
      <c r="S429" s="91">
        <v>-7275</v>
      </c>
      <c r="T429" s="91">
        <v>3012</v>
      </c>
      <c r="U429" s="91">
        <v>0</v>
      </c>
      <c r="V429" s="202">
        <v>0</v>
      </c>
      <c r="W429" s="91">
        <v>-742</v>
      </c>
      <c r="X429" s="91">
        <v>0</v>
      </c>
      <c r="Y429" s="91">
        <v>6533</v>
      </c>
      <c r="Z429" s="91">
        <v>0</v>
      </c>
      <c r="AA429" s="91">
        <v>0</v>
      </c>
      <c r="AB429" s="91">
        <v>-742</v>
      </c>
      <c r="AC429" s="91">
        <v>-742</v>
      </c>
      <c r="AD429" s="91">
        <v>-742</v>
      </c>
      <c r="AE429" s="91">
        <v>-742</v>
      </c>
      <c r="AF429" s="91">
        <v>-742</v>
      </c>
      <c r="AG429" s="91">
        <v>-2823</v>
      </c>
      <c r="AH429" s="84">
        <v>9.8000000000000007</v>
      </c>
      <c r="AI429" s="97">
        <f t="shared" si="6"/>
        <v>4694</v>
      </c>
    </row>
    <row r="430" spans="1:35" ht="22.5">
      <c r="A430" s="55" t="s">
        <v>595</v>
      </c>
      <c r="B430" s="91">
        <v>0</v>
      </c>
      <c r="C430" s="91">
        <v>0</v>
      </c>
      <c r="D430" s="91">
        <v>1</v>
      </c>
      <c r="E430" s="90">
        <v>1</v>
      </c>
      <c r="F430" s="91">
        <v>3379</v>
      </c>
      <c r="G430" s="91">
        <v>3129</v>
      </c>
      <c r="H430" s="91">
        <v>283</v>
      </c>
      <c r="I430" s="91">
        <v>32.300000000000011</v>
      </c>
      <c r="J430" s="91">
        <v>-33</v>
      </c>
      <c r="K430" s="91">
        <v>3432</v>
      </c>
      <c r="L430" s="91">
        <v>3314</v>
      </c>
      <c r="M430" s="91">
        <v>3192</v>
      </c>
      <c r="N430" s="91">
        <v>3579</v>
      </c>
      <c r="O430" s="91">
        <v>193</v>
      </c>
      <c r="P430" s="91">
        <v>97</v>
      </c>
      <c r="Q430" s="91">
        <v>0</v>
      </c>
      <c r="R430" s="91">
        <v>0</v>
      </c>
      <c r="S430" s="91">
        <v>-40</v>
      </c>
      <c r="T430" s="91">
        <v>0</v>
      </c>
      <c r="U430" s="91">
        <v>0</v>
      </c>
      <c r="V430" s="202">
        <v>0</v>
      </c>
      <c r="W430" s="91">
        <v>-7</v>
      </c>
      <c r="X430" s="91">
        <v>0</v>
      </c>
      <c r="Y430" s="91">
        <v>33</v>
      </c>
      <c r="Z430" s="91">
        <v>0</v>
      </c>
      <c r="AA430" s="91">
        <v>0</v>
      </c>
      <c r="AB430" s="91">
        <v>-7</v>
      </c>
      <c r="AC430" s="91">
        <v>-7</v>
      </c>
      <c r="AD430" s="91">
        <v>-7</v>
      </c>
      <c r="AE430" s="91">
        <v>-7</v>
      </c>
      <c r="AF430" s="91">
        <v>-5</v>
      </c>
      <c r="AG430" s="91">
        <v>0</v>
      </c>
      <c r="AH430" s="84">
        <v>5.8</v>
      </c>
      <c r="AI430" s="97">
        <f t="shared" si="6"/>
        <v>250</v>
      </c>
    </row>
    <row r="431" spans="1:35" ht="22.5">
      <c r="A431" s="55" t="s">
        <v>596</v>
      </c>
      <c r="B431" s="91">
        <v>0</v>
      </c>
      <c r="C431" s="91">
        <v>0</v>
      </c>
      <c r="D431" s="91">
        <v>174</v>
      </c>
      <c r="E431" s="90">
        <v>199</v>
      </c>
      <c r="F431" s="91">
        <v>237099</v>
      </c>
      <c r="G431" s="91">
        <v>218150</v>
      </c>
      <c r="H431" s="91">
        <v>26715</v>
      </c>
      <c r="I431" s="91">
        <v>3442.890000000004</v>
      </c>
      <c r="J431" s="91">
        <v>-7766</v>
      </c>
      <c r="K431" s="91">
        <v>251074</v>
      </c>
      <c r="L431" s="91">
        <v>223445</v>
      </c>
      <c r="M431" s="91">
        <v>212964</v>
      </c>
      <c r="N431" s="91">
        <v>264897</v>
      </c>
      <c r="O431" s="91">
        <v>20788</v>
      </c>
      <c r="P431" s="91">
        <v>6977</v>
      </c>
      <c r="Q431" s="91">
        <v>0</v>
      </c>
      <c r="R431" s="91">
        <v>0</v>
      </c>
      <c r="S431" s="91">
        <v>-8816</v>
      </c>
      <c r="T431" s="91">
        <v>0</v>
      </c>
      <c r="U431" s="91">
        <v>0</v>
      </c>
      <c r="V431" s="202">
        <v>0</v>
      </c>
      <c r="W431" s="91">
        <v>-1050</v>
      </c>
      <c r="X431" s="91">
        <v>0</v>
      </c>
      <c r="Y431" s="91">
        <v>7766</v>
      </c>
      <c r="Z431" s="91">
        <v>0</v>
      </c>
      <c r="AA431" s="91">
        <v>0</v>
      </c>
      <c r="AB431" s="91">
        <v>-1050</v>
      </c>
      <c r="AC431" s="91">
        <v>-1050</v>
      </c>
      <c r="AD431" s="91">
        <v>-1050</v>
      </c>
      <c r="AE431" s="91">
        <v>-1050</v>
      </c>
      <c r="AF431" s="91">
        <v>-1050</v>
      </c>
      <c r="AG431" s="91">
        <v>-2516</v>
      </c>
      <c r="AH431" s="84">
        <v>8.4</v>
      </c>
      <c r="AI431" s="97">
        <f t="shared" si="6"/>
        <v>18949</v>
      </c>
    </row>
    <row r="432" spans="1:35">
      <c r="A432" s="55" t="s">
        <v>597</v>
      </c>
      <c r="B432" s="91">
        <v>0</v>
      </c>
      <c r="C432" s="91">
        <v>0</v>
      </c>
      <c r="D432" s="91">
        <v>0</v>
      </c>
      <c r="E432" s="90">
        <v>0</v>
      </c>
      <c r="F432" s="91">
        <v>0</v>
      </c>
      <c r="G432" s="91">
        <v>0</v>
      </c>
      <c r="H432" s="91">
        <v>0</v>
      </c>
      <c r="I432" s="91">
        <v>0</v>
      </c>
      <c r="J432" s="91">
        <v>0</v>
      </c>
      <c r="K432" s="91">
        <v>0</v>
      </c>
      <c r="L432" s="91">
        <v>0</v>
      </c>
      <c r="M432" s="91">
        <v>0</v>
      </c>
      <c r="N432" s="91">
        <v>0</v>
      </c>
      <c r="O432" s="91">
        <v>0</v>
      </c>
      <c r="P432" s="91">
        <v>0</v>
      </c>
      <c r="Q432" s="91">
        <v>0</v>
      </c>
      <c r="R432" s="91">
        <v>0</v>
      </c>
      <c r="S432" s="91">
        <v>0</v>
      </c>
      <c r="T432" s="91">
        <v>0</v>
      </c>
      <c r="U432" s="91">
        <v>0</v>
      </c>
      <c r="V432" s="202">
        <v>0</v>
      </c>
      <c r="W432" s="91">
        <v>0</v>
      </c>
      <c r="X432" s="91">
        <v>0</v>
      </c>
      <c r="Y432" s="91">
        <v>0</v>
      </c>
      <c r="Z432" s="91">
        <v>0</v>
      </c>
      <c r="AA432" s="91">
        <v>0</v>
      </c>
      <c r="AB432" s="91">
        <v>0</v>
      </c>
      <c r="AC432" s="91">
        <v>0</v>
      </c>
      <c r="AD432" s="91">
        <v>0</v>
      </c>
      <c r="AE432" s="91">
        <v>0</v>
      </c>
      <c r="AF432" s="91">
        <v>0</v>
      </c>
      <c r="AG432" s="91">
        <v>0</v>
      </c>
      <c r="AH432" s="84">
        <v>1</v>
      </c>
      <c r="AI432" s="97">
        <f t="shared" si="6"/>
        <v>0</v>
      </c>
    </row>
    <row r="433" spans="1:35">
      <c r="A433" s="55" t="s">
        <v>598</v>
      </c>
      <c r="B433" s="91">
        <v>0</v>
      </c>
      <c r="C433" s="91">
        <v>0</v>
      </c>
      <c r="D433" s="91">
        <v>0</v>
      </c>
      <c r="E433" s="90">
        <v>0</v>
      </c>
      <c r="F433" s="91">
        <v>0</v>
      </c>
      <c r="G433" s="91">
        <v>0</v>
      </c>
      <c r="H433" s="91">
        <v>0</v>
      </c>
      <c r="I433" s="91">
        <v>0</v>
      </c>
      <c r="J433" s="91">
        <v>0</v>
      </c>
      <c r="K433" s="91">
        <v>0</v>
      </c>
      <c r="L433" s="91">
        <v>0</v>
      </c>
      <c r="M433" s="91">
        <v>0</v>
      </c>
      <c r="N433" s="91">
        <v>0</v>
      </c>
      <c r="O433" s="91">
        <v>0</v>
      </c>
      <c r="P433" s="91">
        <v>0</v>
      </c>
      <c r="Q433" s="91">
        <v>0</v>
      </c>
      <c r="R433" s="91">
        <v>0</v>
      </c>
      <c r="S433" s="91">
        <v>0</v>
      </c>
      <c r="T433" s="91">
        <v>0</v>
      </c>
      <c r="U433" s="91">
        <v>0</v>
      </c>
      <c r="V433" s="202">
        <v>0</v>
      </c>
      <c r="W433" s="91">
        <v>0</v>
      </c>
      <c r="X433" s="91">
        <v>0</v>
      </c>
      <c r="Y433" s="91">
        <v>0</v>
      </c>
      <c r="Z433" s="91">
        <v>0</v>
      </c>
      <c r="AA433" s="91">
        <v>0</v>
      </c>
      <c r="AB433" s="91">
        <v>0</v>
      </c>
      <c r="AC433" s="91">
        <v>0</v>
      </c>
      <c r="AD433" s="91">
        <v>0</v>
      </c>
      <c r="AE433" s="91">
        <v>0</v>
      </c>
      <c r="AF433" s="91">
        <v>0</v>
      </c>
      <c r="AG433" s="91">
        <v>0</v>
      </c>
      <c r="AH433" s="84">
        <v>1</v>
      </c>
      <c r="AI433" s="97">
        <f t="shared" si="6"/>
        <v>0</v>
      </c>
    </row>
    <row r="434" spans="1:35">
      <c r="A434" s="55" t="s">
        <v>599</v>
      </c>
      <c r="B434" s="91">
        <v>0</v>
      </c>
      <c r="C434" s="91">
        <v>0</v>
      </c>
      <c r="D434" s="91">
        <v>4</v>
      </c>
      <c r="E434" s="90">
        <v>4</v>
      </c>
      <c r="F434" s="91">
        <v>11378</v>
      </c>
      <c r="G434" s="91">
        <v>11024</v>
      </c>
      <c r="H434" s="91">
        <v>1203</v>
      </c>
      <c r="I434" s="91">
        <v>338.34000000000003</v>
      </c>
      <c r="J434" s="91">
        <v>-849</v>
      </c>
      <c r="K434" s="91">
        <v>12923</v>
      </c>
      <c r="L434" s="91">
        <v>10059</v>
      </c>
      <c r="M434" s="91">
        <v>9512</v>
      </c>
      <c r="N434" s="91">
        <v>13733</v>
      </c>
      <c r="O434" s="91">
        <v>966</v>
      </c>
      <c r="P434" s="91">
        <v>350</v>
      </c>
      <c r="Q434" s="91">
        <v>0</v>
      </c>
      <c r="R434" s="91">
        <v>0</v>
      </c>
      <c r="S434" s="91">
        <v>-962</v>
      </c>
      <c r="T434" s="91">
        <v>0</v>
      </c>
      <c r="U434" s="91">
        <v>0</v>
      </c>
      <c r="V434" s="202">
        <v>0</v>
      </c>
      <c r="W434" s="91">
        <v>-113</v>
      </c>
      <c r="X434" s="91">
        <v>0</v>
      </c>
      <c r="Y434" s="91">
        <v>849</v>
      </c>
      <c r="Z434" s="91">
        <v>0</v>
      </c>
      <c r="AA434" s="91">
        <v>0</v>
      </c>
      <c r="AB434" s="91">
        <v>-113</v>
      </c>
      <c r="AC434" s="91">
        <v>-113</v>
      </c>
      <c r="AD434" s="91">
        <v>-113</v>
      </c>
      <c r="AE434" s="91">
        <v>-113</v>
      </c>
      <c r="AF434" s="91">
        <v>-113</v>
      </c>
      <c r="AG434" s="91">
        <v>-284</v>
      </c>
      <c r="AH434" s="84">
        <v>8.5</v>
      </c>
      <c r="AI434" s="97">
        <f t="shared" si="6"/>
        <v>354</v>
      </c>
    </row>
    <row r="435" spans="1:35">
      <c r="A435" s="55" t="s">
        <v>600</v>
      </c>
      <c r="B435" s="91">
        <v>0</v>
      </c>
      <c r="C435" s="91">
        <v>0</v>
      </c>
      <c r="D435" s="91">
        <v>1</v>
      </c>
      <c r="E435" s="90">
        <v>1</v>
      </c>
      <c r="F435" s="91">
        <v>312</v>
      </c>
      <c r="G435" s="91">
        <v>56</v>
      </c>
      <c r="H435" s="91">
        <v>298</v>
      </c>
      <c r="I435" s="91">
        <v>0</v>
      </c>
      <c r="J435" s="91">
        <v>-42</v>
      </c>
      <c r="K435" s="91">
        <v>358</v>
      </c>
      <c r="L435" s="91">
        <v>290</v>
      </c>
      <c r="M435" s="91">
        <v>260</v>
      </c>
      <c r="N435" s="91">
        <v>404</v>
      </c>
      <c r="O435" s="91">
        <v>292</v>
      </c>
      <c r="P435" s="91">
        <v>10</v>
      </c>
      <c r="Q435" s="91">
        <v>0</v>
      </c>
      <c r="R435" s="91">
        <v>0</v>
      </c>
      <c r="S435" s="91">
        <v>-46</v>
      </c>
      <c r="T435" s="91">
        <v>0</v>
      </c>
      <c r="U435" s="91">
        <v>0</v>
      </c>
      <c r="V435" s="202">
        <v>0</v>
      </c>
      <c r="W435" s="91">
        <v>-4</v>
      </c>
      <c r="X435" s="91">
        <v>0</v>
      </c>
      <c r="Y435" s="91">
        <v>42</v>
      </c>
      <c r="Z435" s="91">
        <v>0</v>
      </c>
      <c r="AA435" s="91">
        <v>0</v>
      </c>
      <c r="AB435" s="91">
        <v>-4</v>
      </c>
      <c r="AC435" s="91">
        <v>-4</v>
      </c>
      <c r="AD435" s="91">
        <v>-4</v>
      </c>
      <c r="AE435" s="91">
        <v>-4</v>
      </c>
      <c r="AF435" s="91">
        <v>-4</v>
      </c>
      <c r="AG435" s="91">
        <v>-22</v>
      </c>
      <c r="AH435" s="84">
        <v>11.7</v>
      </c>
      <c r="AI435" s="97">
        <f t="shared" si="6"/>
        <v>256</v>
      </c>
    </row>
    <row r="436" spans="1:35">
      <c r="A436" s="55" t="s">
        <v>601</v>
      </c>
      <c r="B436" s="91">
        <v>0</v>
      </c>
      <c r="C436" s="91">
        <v>0</v>
      </c>
      <c r="D436" s="91">
        <v>96</v>
      </c>
      <c r="E436" s="90">
        <v>96</v>
      </c>
      <c r="F436" s="91">
        <v>158797</v>
      </c>
      <c r="G436" s="91">
        <v>148358</v>
      </c>
      <c r="H436" s="91">
        <v>19054</v>
      </c>
      <c r="I436" s="91">
        <v>999.64999999999964</v>
      </c>
      <c r="J436" s="91">
        <v>-8615</v>
      </c>
      <c r="K436" s="91">
        <v>173912</v>
      </c>
      <c r="L436" s="91">
        <v>144637</v>
      </c>
      <c r="M436" s="91">
        <v>136431</v>
      </c>
      <c r="N436" s="91">
        <v>185688</v>
      </c>
      <c r="O436" s="91">
        <v>15194</v>
      </c>
      <c r="P436" s="91">
        <v>4776</v>
      </c>
      <c r="Q436" s="91">
        <v>0</v>
      </c>
      <c r="R436" s="91">
        <v>0</v>
      </c>
      <c r="S436" s="91">
        <v>-9531</v>
      </c>
      <c r="T436" s="91">
        <v>0</v>
      </c>
      <c r="U436" s="91">
        <v>0</v>
      </c>
      <c r="V436" s="202">
        <v>0</v>
      </c>
      <c r="W436" s="91">
        <v>-916</v>
      </c>
      <c r="X436" s="91">
        <v>0</v>
      </c>
      <c r="Y436" s="91">
        <v>8615</v>
      </c>
      <c r="Z436" s="91">
        <v>0</v>
      </c>
      <c r="AA436" s="91">
        <v>0</v>
      </c>
      <c r="AB436" s="91">
        <v>-916</v>
      </c>
      <c r="AC436" s="91">
        <v>-916</v>
      </c>
      <c r="AD436" s="91">
        <v>-916</v>
      </c>
      <c r="AE436" s="91">
        <v>-916</v>
      </c>
      <c r="AF436" s="91">
        <v>-916</v>
      </c>
      <c r="AG436" s="91">
        <v>-4035</v>
      </c>
      <c r="AH436" s="84">
        <v>10.4</v>
      </c>
      <c r="AI436" s="97">
        <f t="shared" si="6"/>
        <v>10439</v>
      </c>
    </row>
    <row r="437" spans="1:35">
      <c r="A437" s="55" t="s">
        <v>602</v>
      </c>
      <c r="B437" s="91">
        <v>0</v>
      </c>
      <c r="C437" s="91">
        <v>0</v>
      </c>
      <c r="D437" s="91">
        <v>22</v>
      </c>
      <c r="E437" s="90">
        <v>22</v>
      </c>
      <c r="F437" s="91">
        <v>56991</v>
      </c>
      <c r="G437" s="91">
        <v>51407</v>
      </c>
      <c r="H437" s="91">
        <v>7475</v>
      </c>
      <c r="I437" s="91">
        <v>680.57000000000016</v>
      </c>
      <c r="J437" s="91">
        <v>-1891</v>
      </c>
      <c r="K437" s="91">
        <v>60377</v>
      </c>
      <c r="L437" s="91">
        <v>53687</v>
      </c>
      <c r="M437" s="91">
        <v>51095</v>
      </c>
      <c r="N437" s="91">
        <v>63738</v>
      </c>
      <c r="O437" s="91">
        <v>6056</v>
      </c>
      <c r="P437" s="91">
        <v>1678</v>
      </c>
      <c r="Q437" s="91">
        <v>0</v>
      </c>
      <c r="R437" s="91">
        <v>0</v>
      </c>
      <c r="S437" s="91">
        <v>-2150</v>
      </c>
      <c r="T437" s="91">
        <v>0</v>
      </c>
      <c r="U437" s="91">
        <v>0</v>
      </c>
      <c r="V437" s="202">
        <v>0</v>
      </c>
      <c r="W437" s="91">
        <v>-259</v>
      </c>
      <c r="X437" s="91">
        <v>0</v>
      </c>
      <c r="Y437" s="91">
        <v>1891</v>
      </c>
      <c r="Z437" s="91">
        <v>0</v>
      </c>
      <c r="AA437" s="91">
        <v>0</v>
      </c>
      <c r="AB437" s="91">
        <v>-259</v>
      </c>
      <c r="AC437" s="91">
        <v>-259</v>
      </c>
      <c r="AD437" s="91">
        <v>-259</v>
      </c>
      <c r="AE437" s="91">
        <v>-259</v>
      </c>
      <c r="AF437" s="91">
        <v>-259</v>
      </c>
      <c r="AG437" s="91">
        <v>-596</v>
      </c>
      <c r="AH437" s="84">
        <v>8.3000000000000007</v>
      </c>
      <c r="AI437" s="97">
        <f t="shared" si="6"/>
        <v>5584</v>
      </c>
    </row>
    <row r="438" spans="1:35">
      <c r="A438" s="55" t="s">
        <v>603</v>
      </c>
      <c r="B438" s="91">
        <v>0</v>
      </c>
      <c r="C438" s="91">
        <v>0</v>
      </c>
      <c r="D438" s="91">
        <v>0</v>
      </c>
      <c r="E438" s="90">
        <v>0</v>
      </c>
      <c r="F438" s="91">
        <v>0</v>
      </c>
      <c r="G438" s="91">
        <v>0</v>
      </c>
      <c r="H438" s="91">
        <v>0</v>
      </c>
      <c r="I438" s="91">
        <v>0</v>
      </c>
      <c r="J438" s="91">
        <v>0</v>
      </c>
      <c r="K438" s="91">
        <v>0</v>
      </c>
      <c r="L438" s="91">
        <v>0</v>
      </c>
      <c r="M438" s="91">
        <v>0</v>
      </c>
      <c r="N438" s="91">
        <v>0</v>
      </c>
      <c r="O438" s="91">
        <v>0</v>
      </c>
      <c r="P438" s="91">
        <v>0</v>
      </c>
      <c r="Q438" s="91">
        <v>0</v>
      </c>
      <c r="R438" s="91">
        <v>0</v>
      </c>
      <c r="S438" s="91">
        <v>0</v>
      </c>
      <c r="T438" s="91">
        <v>0</v>
      </c>
      <c r="U438" s="91">
        <v>0</v>
      </c>
      <c r="V438" s="202">
        <v>0</v>
      </c>
      <c r="W438" s="91">
        <v>0</v>
      </c>
      <c r="X438" s="91">
        <v>0</v>
      </c>
      <c r="Y438" s="91">
        <v>0</v>
      </c>
      <c r="Z438" s="91">
        <v>0</v>
      </c>
      <c r="AA438" s="91">
        <v>0</v>
      </c>
      <c r="AB438" s="91">
        <v>0</v>
      </c>
      <c r="AC438" s="91">
        <v>0</v>
      </c>
      <c r="AD438" s="91">
        <v>0</v>
      </c>
      <c r="AE438" s="91">
        <v>0</v>
      </c>
      <c r="AF438" s="91">
        <v>0</v>
      </c>
      <c r="AG438" s="91">
        <v>0</v>
      </c>
      <c r="AH438" s="84">
        <v>1</v>
      </c>
      <c r="AI438" s="97">
        <f t="shared" si="6"/>
        <v>0</v>
      </c>
    </row>
    <row r="439" spans="1:35">
      <c r="A439" s="55" t="s">
        <v>604</v>
      </c>
      <c r="B439" s="91">
        <v>0</v>
      </c>
      <c r="C439" s="91">
        <v>0</v>
      </c>
      <c r="D439" s="91">
        <v>0</v>
      </c>
      <c r="E439" s="90">
        <v>0</v>
      </c>
      <c r="F439" s="91">
        <v>0</v>
      </c>
      <c r="G439" s="91">
        <v>0</v>
      </c>
      <c r="H439" s="91">
        <v>0</v>
      </c>
      <c r="I439" s="91">
        <v>0</v>
      </c>
      <c r="J439" s="91">
        <v>0</v>
      </c>
      <c r="K439" s="91">
        <v>0</v>
      </c>
      <c r="L439" s="91">
        <v>0</v>
      </c>
      <c r="M439" s="91">
        <v>0</v>
      </c>
      <c r="N439" s="91">
        <v>0</v>
      </c>
      <c r="O439" s="91">
        <v>0</v>
      </c>
      <c r="P439" s="91">
        <v>0</v>
      </c>
      <c r="Q439" s="91">
        <v>0</v>
      </c>
      <c r="R439" s="91">
        <v>0</v>
      </c>
      <c r="S439" s="91">
        <v>0</v>
      </c>
      <c r="T439" s="91">
        <v>0</v>
      </c>
      <c r="U439" s="91">
        <v>0</v>
      </c>
      <c r="V439" s="202">
        <v>0</v>
      </c>
      <c r="W439" s="91">
        <v>0</v>
      </c>
      <c r="X439" s="91">
        <v>0</v>
      </c>
      <c r="Y439" s="91">
        <v>0</v>
      </c>
      <c r="Z439" s="91">
        <v>0</v>
      </c>
      <c r="AA439" s="91">
        <v>0</v>
      </c>
      <c r="AB439" s="91">
        <v>0</v>
      </c>
      <c r="AC439" s="91">
        <v>0</v>
      </c>
      <c r="AD439" s="91">
        <v>0</v>
      </c>
      <c r="AE439" s="91">
        <v>0</v>
      </c>
      <c r="AF439" s="91">
        <v>0</v>
      </c>
      <c r="AG439" s="91">
        <v>0</v>
      </c>
      <c r="AH439" s="84">
        <v>1</v>
      </c>
      <c r="AI439" s="97">
        <f t="shared" si="6"/>
        <v>0</v>
      </c>
    </row>
    <row r="440" spans="1:35">
      <c r="A440" s="55" t="s">
        <v>605</v>
      </c>
      <c r="B440" s="91">
        <v>0</v>
      </c>
      <c r="C440" s="91">
        <v>0</v>
      </c>
      <c r="D440" s="91">
        <v>3</v>
      </c>
      <c r="E440" s="90">
        <v>3</v>
      </c>
      <c r="F440" s="91">
        <v>13456</v>
      </c>
      <c r="G440" s="91">
        <v>13400</v>
      </c>
      <c r="H440" s="91">
        <v>1037</v>
      </c>
      <c r="I440" s="91">
        <v>0</v>
      </c>
      <c r="J440" s="91">
        <v>-981</v>
      </c>
      <c r="K440" s="91">
        <v>15120</v>
      </c>
      <c r="L440" s="91">
        <v>11917</v>
      </c>
      <c r="M440" s="91">
        <v>11202</v>
      </c>
      <c r="N440" s="91">
        <v>16248</v>
      </c>
      <c r="O440" s="91">
        <v>705</v>
      </c>
      <c r="P440" s="91">
        <v>412</v>
      </c>
      <c r="Q440" s="91">
        <v>0</v>
      </c>
      <c r="R440" s="91">
        <v>0</v>
      </c>
      <c r="S440" s="91">
        <v>-1061</v>
      </c>
      <c r="T440" s="91">
        <v>0</v>
      </c>
      <c r="U440" s="91">
        <v>0</v>
      </c>
      <c r="V440" s="202">
        <v>0</v>
      </c>
      <c r="W440" s="91">
        <v>-80</v>
      </c>
      <c r="X440" s="91">
        <v>0</v>
      </c>
      <c r="Y440" s="91">
        <v>981</v>
      </c>
      <c r="Z440" s="91">
        <v>0</v>
      </c>
      <c r="AA440" s="91">
        <v>0</v>
      </c>
      <c r="AB440" s="91">
        <v>-80</v>
      </c>
      <c r="AC440" s="91">
        <v>-80</v>
      </c>
      <c r="AD440" s="91">
        <v>-80</v>
      </c>
      <c r="AE440" s="91">
        <v>-80</v>
      </c>
      <c r="AF440" s="91">
        <v>-80</v>
      </c>
      <c r="AG440" s="91">
        <v>-581</v>
      </c>
      <c r="AH440" s="84">
        <v>13.2</v>
      </c>
      <c r="AI440" s="97">
        <f t="shared" si="6"/>
        <v>56</v>
      </c>
    </row>
    <row r="441" spans="1:35">
      <c r="A441" s="55" t="s">
        <v>606</v>
      </c>
      <c r="B441" s="91">
        <v>53</v>
      </c>
      <c r="C441" s="91">
        <v>0</v>
      </c>
      <c r="D441" s="91">
        <v>569</v>
      </c>
      <c r="E441" s="90">
        <v>613</v>
      </c>
      <c r="F441" s="91">
        <v>12755825</v>
      </c>
      <c r="G441" s="91">
        <v>12886263</v>
      </c>
      <c r="H441" s="91">
        <v>987111</v>
      </c>
      <c r="I441" s="91">
        <v>553006.37999999966</v>
      </c>
      <c r="J441" s="91">
        <v>-589696</v>
      </c>
      <c r="K441" s="91">
        <v>13805427</v>
      </c>
      <c r="L441" s="91">
        <v>11768224</v>
      </c>
      <c r="M441" s="91">
        <v>11237705</v>
      </c>
      <c r="N441" s="91">
        <v>14571702</v>
      </c>
      <c r="O441" s="91">
        <v>674447</v>
      </c>
      <c r="P441" s="91">
        <v>388266</v>
      </c>
      <c r="Q441" s="91">
        <v>0</v>
      </c>
      <c r="R441" s="91">
        <v>0</v>
      </c>
      <c r="S441" s="91">
        <v>-665298</v>
      </c>
      <c r="T441" s="91">
        <v>527853</v>
      </c>
      <c r="U441" s="91">
        <v>0</v>
      </c>
      <c r="V441" s="202">
        <v>0</v>
      </c>
      <c r="W441" s="91">
        <v>-75602</v>
      </c>
      <c r="X441" s="91">
        <v>0</v>
      </c>
      <c r="Y441" s="91">
        <v>589696</v>
      </c>
      <c r="Z441" s="91">
        <v>0</v>
      </c>
      <c r="AA441" s="91">
        <v>0</v>
      </c>
      <c r="AB441" s="91">
        <v>-75602</v>
      </c>
      <c r="AC441" s="91">
        <v>-75602</v>
      </c>
      <c r="AD441" s="91">
        <v>-75602</v>
      </c>
      <c r="AE441" s="91">
        <v>-75602</v>
      </c>
      <c r="AF441" s="91">
        <v>-75602</v>
      </c>
      <c r="AG441" s="91">
        <v>-211686</v>
      </c>
      <c r="AH441" s="84">
        <v>8.8000000000000007</v>
      </c>
      <c r="AI441" s="97">
        <f t="shared" si="6"/>
        <v>-130438</v>
      </c>
    </row>
    <row r="442" spans="1:35">
      <c r="A442" s="55" t="s">
        <v>607</v>
      </c>
      <c r="B442" s="91">
        <v>0</v>
      </c>
      <c r="C442" s="91">
        <v>0</v>
      </c>
      <c r="D442" s="91">
        <v>6</v>
      </c>
      <c r="E442" s="90">
        <v>7</v>
      </c>
      <c r="F442" s="91">
        <v>4522</v>
      </c>
      <c r="G442" s="91">
        <v>4028</v>
      </c>
      <c r="H442" s="91">
        <v>602</v>
      </c>
      <c r="I442" s="91">
        <v>1.2699999999999996</v>
      </c>
      <c r="J442" s="91">
        <v>-108</v>
      </c>
      <c r="K442" s="91">
        <v>4707</v>
      </c>
      <c r="L442" s="91">
        <v>4330</v>
      </c>
      <c r="M442" s="91">
        <v>4172</v>
      </c>
      <c r="N442" s="91">
        <v>4889</v>
      </c>
      <c r="O442" s="91">
        <v>482</v>
      </c>
      <c r="P442" s="91">
        <v>132</v>
      </c>
      <c r="Q442" s="91">
        <v>0</v>
      </c>
      <c r="R442" s="91">
        <v>0</v>
      </c>
      <c r="S442" s="91">
        <v>-120</v>
      </c>
      <c r="T442" s="91">
        <v>0</v>
      </c>
      <c r="U442" s="91">
        <v>0</v>
      </c>
      <c r="V442" s="202">
        <v>0</v>
      </c>
      <c r="W442" s="91">
        <v>-12</v>
      </c>
      <c r="X442" s="91">
        <v>0</v>
      </c>
      <c r="Y442" s="91">
        <v>108</v>
      </c>
      <c r="Z442" s="91">
        <v>0</v>
      </c>
      <c r="AA442" s="91">
        <v>0</v>
      </c>
      <c r="AB442" s="91">
        <v>-12</v>
      </c>
      <c r="AC442" s="91">
        <v>-12</v>
      </c>
      <c r="AD442" s="91">
        <v>-12</v>
      </c>
      <c r="AE442" s="91">
        <v>-12</v>
      </c>
      <c r="AF442" s="91">
        <v>-12</v>
      </c>
      <c r="AG442" s="91">
        <v>-48</v>
      </c>
      <c r="AH442" s="84">
        <v>10.3</v>
      </c>
      <c r="AI442" s="97">
        <f t="shared" si="6"/>
        <v>494</v>
      </c>
    </row>
    <row r="443" spans="1:35">
      <c r="A443" s="55" t="s">
        <v>608</v>
      </c>
      <c r="B443" s="91">
        <v>0</v>
      </c>
      <c r="C443" s="91">
        <v>0</v>
      </c>
      <c r="D443" s="91">
        <v>0</v>
      </c>
      <c r="E443" s="90">
        <v>0</v>
      </c>
      <c r="F443" s="91">
        <v>0</v>
      </c>
      <c r="G443" s="91">
        <v>0</v>
      </c>
      <c r="H443" s="91">
        <v>0</v>
      </c>
      <c r="I443" s="91">
        <v>0</v>
      </c>
      <c r="J443" s="91">
        <v>0</v>
      </c>
      <c r="K443" s="91">
        <v>0</v>
      </c>
      <c r="L443" s="91">
        <v>0</v>
      </c>
      <c r="M443" s="91">
        <v>0</v>
      </c>
      <c r="N443" s="91">
        <v>0</v>
      </c>
      <c r="O443" s="91">
        <v>0</v>
      </c>
      <c r="P443" s="91">
        <v>0</v>
      </c>
      <c r="Q443" s="91">
        <v>0</v>
      </c>
      <c r="R443" s="91">
        <v>0</v>
      </c>
      <c r="S443" s="91">
        <v>0</v>
      </c>
      <c r="T443" s="91">
        <v>0</v>
      </c>
      <c r="U443" s="91">
        <v>0</v>
      </c>
      <c r="V443" s="202">
        <v>0</v>
      </c>
      <c r="W443" s="91">
        <v>0</v>
      </c>
      <c r="X443" s="91">
        <v>0</v>
      </c>
      <c r="Y443" s="91">
        <v>0</v>
      </c>
      <c r="Z443" s="91">
        <v>0</v>
      </c>
      <c r="AA443" s="91">
        <v>0</v>
      </c>
      <c r="AB443" s="91">
        <v>0</v>
      </c>
      <c r="AC443" s="91">
        <v>0</v>
      </c>
      <c r="AD443" s="91">
        <v>0</v>
      </c>
      <c r="AE443" s="91">
        <v>0</v>
      </c>
      <c r="AF443" s="91">
        <v>0</v>
      </c>
      <c r="AG443" s="91">
        <v>0</v>
      </c>
      <c r="AH443" s="84">
        <v>1</v>
      </c>
      <c r="AI443" s="97">
        <f t="shared" si="6"/>
        <v>0</v>
      </c>
    </row>
    <row r="444" spans="1:35">
      <c r="A444" s="55" t="s">
        <v>609</v>
      </c>
      <c r="B444" s="91">
        <v>0</v>
      </c>
      <c r="C444" s="91">
        <v>0</v>
      </c>
      <c r="D444" s="91">
        <v>0</v>
      </c>
      <c r="E444" s="90">
        <v>0</v>
      </c>
      <c r="F444" s="91">
        <v>0</v>
      </c>
      <c r="G444" s="91">
        <v>0</v>
      </c>
      <c r="H444" s="91">
        <v>0</v>
      </c>
      <c r="I444" s="91">
        <v>0</v>
      </c>
      <c r="J444" s="91">
        <v>0</v>
      </c>
      <c r="K444" s="91">
        <v>0</v>
      </c>
      <c r="L444" s="91">
        <v>0</v>
      </c>
      <c r="M444" s="91">
        <v>0</v>
      </c>
      <c r="N444" s="91">
        <v>0</v>
      </c>
      <c r="O444" s="91">
        <v>0</v>
      </c>
      <c r="P444" s="91">
        <v>0</v>
      </c>
      <c r="Q444" s="91">
        <v>0</v>
      </c>
      <c r="R444" s="91">
        <v>0</v>
      </c>
      <c r="S444" s="91">
        <v>0</v>
      </c>
      <c r="T444" s="91">
        <v>0</v>
      </c>
      <c r="U444" s="91">
        <v>0</v>
      </c>
      <c r="V444" s="202">
        <v>0</v>
      </c>
      <c r="W444" s="91">
        <v>0</v>
      </c>
      <c r="X444" s="91">
        <v>0</v>
      </c>
      <c r="Y444" s="91">
        <v>0</v>
      </c>
      <c r="Z444" s="91">
        <v>0</v>
      </c>
      <c r="AA444" s="91">
        <v>0</v>
      </c>
      <c r="AB444" s="91">
        <v>0</v>
      </c>
      <c r="AC444" s="91">
        <v>0</v>
      </c>
      <c r="AD444" s="91">
        <v>0</v>
      </c>
      <c r="AE444" s="91">
        <v>0</v>
      </c>
      <c r="AF444" s="91">
        <v>0</v>
      </c>
      <c r="AG444" s="91">
        <v>0</v>
      </c>
      <c r="AH444" s="84">
        <v>1</v>
      </c>
      <c r="AI444" s="97">
        <f t="shared" si="6"/>
        <v>0</v>
      </c>
    </row>
    <row r="445" spans="1:35">
      <c r="A445" s="55" t="s">
        <v>610</v>
      </c>
      <c r="B445" s="91">
        <v>0</v>
      </c>
      <c r="C445" s="91">
        <v>0</v>
      </c>
      <c r="D445" s="91">
        <v>3</v>
      </c>
      <c r="E445" s="90">
        <v>3</v>
      </c>
      <c r="F445" s="91">
        <v>13503</v>
      </c>
      <c r="G445" s="91">
        <v>13105</v>
      </c>
      <c r="H445" s="91">
        <v>1019</v>
      </c>
      <c r="I445" s="91">
        <v>0</v>
      </c>
      <c r="J445" s="91">
        <v>-621</v>
      </c>
      <c r="K445" s="91">
        <v>14544</v>
      </c>
      <c r="L445" s="91">
        <v>12470</v>
      </c>
      <c r="M445" s="91">
        <v>11867</v>
      </c>
      <c r="N445" s="91">
        <v>15404</v>
      </c>
      <c r="O445" s="91">
        <v>675</v>
      </c>
      <c r="P445" s="91">
        <v>402</v>
      </c>
      <c r="Q445" s="91">
        <v>0</v>
      </c>
      <c r="R445" s="91">
        <v>0</v>
      </c>
      <c r="S445" s="91">
        <v>-679</v>
      </c>
      <c r="T445" s="91">
        <v>0</v>
      </c>
      <c r="U445" s="91">
        <v>0</v>
      </c>
      <c r="V445" s="202">
        <v>0</v>
      </c>
      <c r="W445" s="91">
        <v>-58</v>
      </c>
      <c r="X445" s="91">
        <v>0</v>
      </c>
      <c r="Y445" s="91">
        <v>621</v>
      </c>
      <c r="Z445" s="91">
        <v>0</v>
      </c>
      <c r="AA445" s="91">
        <v>0</v>
      </c>
      <c r="AB445" s="91">
        <v>-58</v>
      </c>
      <c r="AC445" s="91">
        <v>-58</v>
      </c>
      <c r="AD445" s="91">
        <v>-58</v>
      </c>
      <c r="AE445" s="91">
        <v>-58</v>
      </c>
      <c r="AF445" s="91">
        <v>-58</v>
      </c>
      <c r="AG445" s="91">
        <v>-331</v>
      </c>
      <c r="AH445" s="84">
        <v>11.7</v>
      </c>
      <c r="AI445" s="97">
        <f t="shared" si="6"/>
        <v>398</v>
      </c>
    </row>
    <row r="446" spans="1:35">
      <c r="A446" s="55" t="s">
        <v>611</v>
      </c>
      <c r="B446" s="91">
        <v>0</v>
      </c>
      <c r="C446" s="91">
        <v>0</v>
      </c>
      <c r="D446" s="91">
        <v>26</v>
      </c>
      <c r="E446" s="90">
        <v>30</v>
      </c>
      <c r="F446" s="91">
        <v>56254</v>
      </c>
      <c r="G446" s="91">
        <v>53289</v>
      </c>
      <c r="H446" s="91">
        <v>6280</v>
      </c>
      <c r="I446" s="91">
        <v>866.64999999999986</v>
      </c>
      <c r="J446" s="91">
        <v>-3315</v>
      </c>
      <c r="K446" s="91">
        <v>62148</v>
      </c>
      <c r="L446" s="91">
        <v>50763</v>
      </c>
      <c r="M446" s="91">
        <v>47857</v>
      </c>
      <c r="N446" s="91">
        <v>66399</v>
      </c>
      <c r="O446" s="91">
        <v>4992</v>
      </c>
      <c r="P446" s="91">
        <v>1702</v>
      </c>
      <c r="Q446" s="91">
        <v>0</v>
      </c>
      <c r="R446" s="91">
        <v>0</v>
      </c>
      <c r="S446" s="91">
        <v>-3729</v>
      </c>
      <c r="T446" s="91">
        <v>0</v>
      </c>
      <c r="U446" s="91">
        <v>0</v>
      </c>
      <c r="V446" s="202">
        <v>0</v>
      </c>
      <c r="W446" s="91">
        <v>-414</v>
      </c>
      <c r="X446" s="91">
        <v>0</v>
      </c>
      <c r="Y446" s="91">
        <v>3315</v>
      </c>
      <c r="Z446" s="91">
        <v>0</v>
      </c>
      <c r="AA446" s="91">
        <v>0</v>
      </c>
      <c r="AB446" s="91">
        <v>-414</v>
      </c>
      <c r="AC446" s="91">
        <v>-414</v>
      </c>
      <c r="AD446" s="91">
        <v>-414</v>
      </c>
      <c r="AE446" s="91">
        <v>-414</v>
      </c>
      <c r="AF446" s="91">
        <v>-414</v>
      </c>
      <c r="AG446" s="91">
        <v>-1245</v>
      </c>
      <c r="AH446" s="84">
        <v>9</v>
      </c>
      <c r="AI446" s="97">
        <f t="shared" si="6"/>
        <v>2965</v>
      </c>
    </row>
    <row r="447" spans="1:35">
      <c r="A447" s="55" t="s">
        <v>612</v>
      </c>
      <c r="B447" s="91">
        <v>0</v>
      </c>
      <c r="C447" s="91">
        <v>0</v>
      </c>
      <c r="D447" s="91">
        <v>41</v>
      </c>
      <c r="E447" s="90">
        <v>46</v>
      </c>
      <c r="F447" s="91">
        <v>75761</v>
      </c>
      <c r="G447" s="91">
        <v>69890</v>
      </c>
      <c r="H447" s="91">
        <v>9684</v>
      </c>
      <c r="I447" s="91">
        <v>637.49999999999864</v>
      </c>
      <c r="J447" s="91">
        <v>-3813</v>
      </c>
      <c r="K447" s="91">
        <v>82497</v>
      </c>
      <c r="L447" s="91">
        <v>69210</v>
      </c>
      <c r="M447" s="91">
        <v>65461</v>
      </c>
      <c r="N447" s="91">
        <v>87940</v>
      </c>
      <c r="O447" s="91">
        <v>7852</v>
      </c>
      <c r="P447" s="91">
        <v>2270</v>
      </c>
      <c r="Q447" s="91">
        <v>0</v>
      </c>
      <c r="R447" s="91">
        <v>0</v>
      </c>
      <c r="S447" s="91">
        <v>-4251</v>
      </c>
      <c r="T447" s="91">
        <v>0</v>
      </c>
      <c r="U447" s="91">
        <v>0</v>
      </c>
      <c r="V447" s="202">
        <v>0</v>
      </c>
      <c r="W447" s="91">
        <v>-438</v>
      </c>
      <c r="X447" s="91">
        <v>0</v>
      </c>
      <c r="Y447" s="91">
        <v>3813</v>
      </c>
      <c r="Z447" s="91">
        <v>0</v>
      </c>
      <c r="AA447" s="91">
        <v>0</v>
      </c>
      <c r="AB447" s="91">
        <v>-438</v>
      </c>
      <c r="AC447" s="91">
        <v>-438</v>
      </c>
      <c r="AD447" s="91">
        <v>-438</v>
      </c>
      <c r="AE447" s="91">
        <v>-438</v>
      </c>
      <c r="AF447" s="91">
        <v>-438</v>
      </c>
      <c r="AG447" s="91">
        <v>-1623</v>
      </c>
      <c r="AH447" s="84">
        <v>9.6999999999999993</v>
      </c>
      <c r="AI447" s="97">
        <f t="shared" si="6"/>
        <v>5871</v>
      </c>
    </row>
    <row r="448" spans="1:35">
      <c r="A448" s="55" t="s">
        <v>613</v>
      </c>
      <c r="B448" s="91">
        <v>0</v>
      </c>
      <c r="C448" s="91">
        <v>0</v>
      </c>
      <c r="D448" s="91">
        <v>5</v>
      </c>
      <c r="E448" s="90">
        <v>6</v>
      </c>
      <c r="F448" s="91">
        <v>644</v>
      </c>
      <c r="G448" s="91">
        <v>464</v>
      </c>
      <c r="H448" s="91">
        <v>248</v>
      </c>
      <c r="I448" s="91">
        <v>0.4700000000000002</v>
      </c>
      <c r="J448" s="91">
        <v>-68</v>
      </c>
      <c r="K448" s="91">
        <v>751</v>
      </c>
      <c r="L448" s="91">
        <v>542</v>
      </c>
      <c r="M448" s="91">
        <v>486</v>
      </c>
      <c r="N448" s="91">
        <v>852</v>
      </c>
      <c r="O448" s="91">
        <v>238</v>
      </c>
      <c r="P448" s="91">
        <v>20</v>
      </c>
      <c r="Q448" s="91">
        <v>0</v>
      </c>
      <c r="R448" s="91">
        <v>0</v>
      </c>
      <c r="S448" s="91">
        <v>-78</v>
      </c>
      <c r="T448" s="91">
        <v>0</v>
      </c>
      <c r="U448" s="91">
        <v>0</v>
      </c>
      <c r="V448" s="202">
        <v>0</v>
      </c>
      <c r="W448" s="91">
        <v>-10</v>
      </c>
      <c r="X448" s="91">
        <v>0</v>
      </c>
      <c r="Y448" s="91">
        <v>68</v>
      </c>
      <c r="Z448" s="91">
        <v>0</v>
      </c>
      <c r="AA448" s="91">
        <v>0</v>
      </c>
      <c r="AB448" s="91">
        <v>-10</v>
      </c>
      <c r="AC448" s="91">
        <v>-10</v>
      </c>
      <c r="AD448" s="91">
        <v>-10</v>
      </c>
      <c r="AE448" s="91">
        <v>-10</v>
      </c>
      <c r="AF448" s="91">
        <v>-10</v>
      </c>
      <c r="AG448" s="91">
        <v>-18</v>
      </c>
      <c r="AH448" s="84">
        <v>8.1999999999999993</v>
      </c>
      <c r="AI448" s="97">
        <f t="shared" si="6"/>
        <v>180</v>
      </c>
    </row>
    <row r="449" spans="1:35">
      <c r="A449" s="55" t="s">
        <v>614</v>
      </c>
      <c r="B449" s="91">
        <v>0</v>
      </c>
      <c r="C449" s="91">
        <v>0</v>
      </c>
      <c r="D449" s="91">
        <v>0</v>
      </c>
      <c r="E449" s="90">
        <v>0</v>
      </c>
      <c r="F449" s="91">
        <v>0</v>
      </c>
      <c r="G449" s="91">
        <v>0</v>
      </c>
      <c r="H449" s="91">
        <v>0</v>
      </c>
      <c r="I449" s="91">
        <v>0</v>
      </c>
      <c r="J449" s="91">
        <v>0</v>
      </c>
      <c r="K449" s="91">
        <v>0</v>
      </c>
      <c r="L449" s="91">
        <v>0</v>
      </c>
      <c r="M449" s="91">
        <v>0</v>
      </c>
      <c r="N449" s="91">
        <v>0</v>
      </c>
      <c r="O449" s="91">
        <v>0</v>
      </c>
      <c r="P449" s="91">
        <v>0</v>
      </c>
      <c r="Q449" s="91">
        <v>0</v>
      </c>
      <c r="R449" s="91">
        <v>0</v>
      </c>
      <c r="S449" s="91">
        <v>0</v>
      </c>
      <c r="T449" s="91">
        <v>0</v>
      </c>
      <c r="U449" s="91">
        <v>0</v>
      </c>
      <c r="V449" s="202">
        <v>0</v>
      </c>
      <c r="W449" s="91">
        <v>0</v>
      </c>
      <c r="X449" s="91">
        <v>0</v>
      </c>
      <c r="Y449" s="91">
        <v>0</v>
      </c>
      <c r="Z449" s="91">
        <v>0</v>
      </c>
      <c r="AA449" s="91">
        <v>0</v>
      </c>
      <c r="AB449" s="91">
        <v>0</v>
      </c>
      <c r="AC449" s="91">
        <v>0</v>
      </c>
      <c r="AD449" s="91">
        <v>0</v>
      </c>
      <c r="AE449" s="91">
        <v>0</v>
      </c>
      <c r="AF449" s="91">
        <v>0</v>
      </c>
      <c r="AG449" s="91">
        <v>0</v>
      </c>
      <c r="AH449" s="84">
        <v>1</v>
      </c>
      <c r="AI449" s="97">
        <f t="shared" si="6"/>
        <v>0</v>
      </c>
    </row>
    <row r="450" spans="1:35">
      <c r="A450" s="55" t="s">
        <v>615</v>
      </c>
      <c r="B450" s="91">
        <v>0</v>
      </c>
      <c r="C450" s="91">
        <v>0</v>
      </c>
      <c r="D450" s="91">
        <v>17</v>
      </c>
      <c r="E450" s="90">
        <v>18</v>
      </c>
      <c r="F450" s="91">
        <v>54218</v>
      </c>
      <c r="G450" s="91">
        <v>49201</v>
      </c>
      <c r="H450" s="91">
        <v>6393</v>
      </c>
      <c r="I450" s="91">
        <v>549.71000000000026</v>
      </c>
      <c r="J450" s="91">
        <v>-1376</v>
      </c>
      <c r="K450" s="91">
        <v>56668</v>
      </c>
      <c r="L450" s="91">
        <v>51702</v>
      </c>
      <c r="M450" s="91">
        <v>49562</v>
      </c>
      <c r="N450" s="91">
        <v>59409</v>
      </c>
      <c r="O450" s="91">
        <v>5007</v>
      </c>
      <c r="P450" s="91">
        <v>1583</v>
      </c>
      <c r="Q450" s="91">
        <v>0</v>
      </c>
      <c r="R450" s="91">
        <v>0</v>
      </c>
      <c r="S450" s="91">
        <v>-1573</v>
      </c>
      <c r="T450" s="91">
        <v>0</v>
      </c>
      <c r="U450" s="91">
        <v>0</v>
      </c>
      <c r="V450" s="202">
        <v>0</v>
      </c>
      <c r="W450" s="91">
        <v>-197</v>
      </c>
      <c r="X450" s="91">
        <v>0</v>
      </c>
      <c r="Y450" s="91">
        <v>1376</v>
      </c>
      <c r="Z450" s="91">
        <v>0</v>
      </c>
      <c r="AA450" s="91">
        <v>0</v>
      </c>
      <c r="AB450" s="91">
        <v>-197</v>
      </c>
      <c r="AC450" s="91">
        <v>-197</v>
      </c>
      <c r="AD450" s="91">
        <v>-197</v>
      </c>
      <c r="AE450" s="91">
        <v>-197</v>
      </c>
      <c r="AF450" s="91">
        <v>-197</v>
      </c>
      <c r="AG450" s="91">
        <v>-391</v>
      </c>
      <c r="AH450" s="84">
        <v>8</v>
      </c>
      <c r="AI450" s="97">
        <f t="shared" si="6"/>
        <v>5017</v>
      </c>
    </row>
    <row r="451" spans="1:35">
      <c r="A451" s="55" t="s">
        <v>616</v>
      </c>
      <c r="B451" s="91">
        <v>0</v>
      </c>
      <c r="C451" s="91">
        <v>0</v>
      </c>
      <c r="D451" s="91">
        <v>1</v>
      </c>
      <c r="E451" s="90">
        <v>2</v>
      </c>
      <c r="F451" s="91">
        <v>0</v>
      </c>
      <c r="G451" s="91">
        <v>0</v>
      </c>
      <c r="H451" s="91">
        <v>0</v>
      </c>
      <c r="I451" s="91">
        <v>0</v>
      </c>
      <c r="J451" s="91">
        <v>0</v>
      </c>
      <c r="K451" s="91">
        <v>0</v>
      </c>
      <c r="L451" s="91">
        <v>0</v>
      </c>
      <c r="M451" s="91">
        <v>0</v>
      </c>
      <c r="N451" s="91">
        <v>0</v>
      </c>
      <c r="O451" s="91">
        <v>0</v>
      </c>
      <c r="P451" s="91">
        <v>0</v>
      </c>
      <c r="Q451" s="91">
        <v>0</v>
      </c>
      <c r="R451" s="91">
        <v>0</v>
      </c>
      <c r="S451" s="91">
        <v>0</v>
      </c>
      <c r="T451" s="91">
        <v>0</v>
      </c>
      <c r="U451" s="91">
        <v>0</v>
      </c>
      <c r="V451" s="202">
        <v>0</v>
      </c>
      <c r="W451" s="91">
        <v>0</v>
      </c>
      <c r="X451" s="91">
        <v>0</v>
      </c>
      <c r="Y451" s="91">
        <v>0</v>
      </c>
      <c r="Z451" s="91">
        <v>0</v>
      </c>
      <c r="AA451" s="91">
        <v>0</v>
      </c>
      <c r="AB451" s="91">
        <v>0</v>
      </c>
      <c r="AC451" s="91">
        <v>0</v>
      </c>
      <c r="AD451" s="91">
        <v>0</v>
      </c>
      <c r="AE451" s="91">
        <v>0</v>
      </c>
      <c r="AF451" s="91">
        <v>0</v>
      </c>
      <c r="AG451" s="91">
        <v>0</v>
      </c>
      <c r="AH451" s="84">
        <v>10.8</v>
      </c>
      <c r="AI451" s="97">
        <f t="shared" si="6"/>
        <v>0</v>
      </c>
    </row>
    <row r="452" spans="1:35" ht="22.5">
      <c r="A452" s="55" t="s">
        <v>617</v>
      </c>
      <c r="B452" s="91">
        <v>0</v>
      </c>
      <c r="C452" s="91">
        <v>0</v>
      </c>
      <c r="D452" s="91">
        <v>1</v>
      </c>
      <c r="E452" s="90">
        <v>2</v>
      </c>
      <c r="F452" s="91">
        <v>0</v>
      </c>
      <c r="G452" s="91">
        <v>0</v>
      </c>
      <c r="H452" s="91">
        <v>0</v>
      </c>
      <c r="I452" s="91">
        <v>0</v>
      </c>
      <c r="J452" s="91">
        <v>0</v>
      </c>
      <c r="K452" s="91">
        <v>0</v>
      </c>
      <c r="L452" s="91">
        <v>0</v>
      </c>
      <c r="M452" s="91">
        <v>0</v>
      </c>
      <c r="N452" s="91">
        <v>0</v>
      </c>
      <c r="O452" s="91">
        <v>0</v>
      </c>
      <c r="P452" s="91">
        <v>0</v>
      </c>
      <c r="Q452" s="91">
        <v>0</v>
      </c>
      <c r="R452" s="91">
        <v>0</v>
      </c>
      <c r="S452" s="91">
        <v>0</v>
      </c>
      <c r="T452" s="91">
        <v>0</v>
      </c>
      <c r="U452" s="91">
        <v>0</v>
      </c>
      <c r="V452" s="202">
        <v>0</v>
      </c>
      <c r="W452" s="91">
        <v>0</v>
      </c>
      <c r="X452" s="91">
        <v>0</v>
      </c>
      <c r="Y452" s="91">
        <v>0</v>
      </c>
      <c r="Z452" s="91">
        <v>0</v>
      </c>
      <c r="AA452" s="91">
        <v>0</v>
      </c>
      <c r="AB452" s="91">
        <v>0</v>
      </c>
      <c r="AC452" s="91">
        <v>0</v>
      </c>
      <c r="AD452" s="91">
        <v>0</v>
      </c>
      <c r="AE452" s="91">
        <v>0</v>
      </c>
      <c r="AF452" s="91">
        <v>0</v>
      </c>
      <c r="AG452" s="91">
        <v>0</v>
      </c>
      <c r="AH452" s="84">
        <v>12.2</v>
      </c>
      <c r="AI452" s="97">
        <f t="shared" si="6"/>
        <v>0</v>
      </c>
    </row>
    <row r="453" spans="1:35">
      <c r="A453" s="55" t="s">
        <v>618</v>
      </c>
      <c r="B453" s="91">
        <v>1</v>
      </c>
      <c r="C453" s="91">
        <v>0</v>
      </c>
      <c r="D453" s="91">
        <v>60</v>
      </c>
      <c r="E453" s="90">
        <v>60</v>
      </c>
      <c r="F453" s="91">
        <v>147479</v>
      </c>
      <c r="G453" s="91">
        <v>144061</v>
      </c>
      <c r="H453" s="91">
        <v>13328</v>
      </c>
      <c r="I453" s="91">
        <v>3063.5199999999995</v>
      </c>
      <c r="J453" s="91">
        <v>-6940</v>
      </c>
      <c r="K453" s="91">
        <v>159510</v>
      </c>
      <c r="L453" s="91">
        <v>135934</v>
      </c>
      <c r="M453" s="91">
        <v>129548</v>
      </c>
      <c r="N453" s="91">
        <v>168492</v>
      </c>
      <c r="O453" s="91">
        <v>9637</v>
      </c>
      <c r="P453" s="91">
        <v>4445</v>
      </c>
      <c r="Q453" s="91">
        <v>0</v>
      </c>
      <c r="R453" s="91">
        <v>0</v>
      </c>
      <c r="S453" s="91">
        <v>-7694</v>
      </c>
      <c r="T453" s="91">
        <v>2970</v>
      </c>
      <c r="U453" s="91">
        <v>0</v>
      </c>
      <c r="V453" s="202">
        <v>0</v>
      </c>
      <c r="W453" s="91">
        <v>-754</v>
      </c>
      <c r="X453" s="91">
        <v>0</v>
      </c>
      <c r="Y453" s="91">
        <v>6940</v>
      </c>
      <c r="Z453" s="91">
        <v>0</v>
      </c>
      <c r="AA453" s="91">
        <v>0</v>
      </c>
      <c r="AB453" s="91">
        <v>-754</v>
      </c>
      <c r="AC453" s="91">
        <v>-754</v>
      </c>
      <c r="AD453" s="91">
        <v>-754</v>
      </c>
      <c r="AE453" s="91">
        <v>-754</v>
      </c>
      <c r="AF453" s="91">
        <v>-754</v>
      </c>
      <c r="AG453" s="91">
        <v>-3170</v>
      </c>
      <c r="AH453" s="84">
        <v>10.199999999999999</v>
      </c>
      <c r="AI453" s="97">
        <f t="shared" ref="AI453:AI516" si="7">O453+P453+Q453+R453+S453-T453</f>
        <v>3418</v>
      </c>
    </row>
    <row r="454" spans="1:35" ht="22.5">
      <c r="A454" s="55" t="s">
        <v>619</v>
      </c>
      <c r="B454" s="91">
        <v>8</v>
      </c>
      <c r="C454" s="91">
        <v>0</v>
      </c>
      <c r="D454" s="91">
        <v>52</v>
      </c>
      <c r="E454" s="90">
        <v>53</v>
      </c>
      <c r="F454" s="91">
        <v>1282864</v>
      </c>
      <c r="G454" s="91">
        <v>1299677</v>
      </c>
      <c r="H454" s="91">
        <v>101728</v>
      </c>
      <c r="I454" s="91">
        <v>82297.069999999992</v>
      </c>
      <c r="J454" s="91">
        <v>-41189</v>
      </c>
      <c r="K454" s="91">
        <v>1357596</v>
      </c>
      <c r="L454" s="91">
        <v>1209775</v>
      </c>
      <c r="M454" s="91">
        <v>1163233</v>
      </c>
      <c r="N454" s="91">
        <v>1420340</v>
      </c>
      <c r="O454" s="91">
        <v>69418</v>
      </c>
      <c r="P454" s="91">
        <v>38848</v>
      </c>
      <c r="Q454" s="91">
        <v>0</v>
      </c>
      <c r="R454" s="91">
        <v>0</v>
      </c>
      <c r="S454" s="91">
        <v>-47727</v>
      </c>
      <c r="T454" s="91">
        <v>77352</v>
      </c>
      <c r="U454" s="91">
        <v>0</v>
      </c>
      <c r="V454" s="202">
        <v>0</v>
      </c>
      <c r="W454" s="91">
        <v>-6538</v>
      </c>
      <c r="X454" s="91">
        <v>0</v>
      </c>
      <c r="Y454" s="91">
        <v>41189</v>
      </c>
      <c r="Z454" s="91">
        <v>0</v>
      </c>
      <c r="AA454" s="91">
        <v>0</v>
      </c>
      <c r="AB454" s="91">
        <v>-6538</v>
      </c>
      <c r="AC454" s="91">
        <v>-6538</v>
      </c>
      <c r="AD454" s="91">
        <v>-6538</v>
      </c>
      <c r="AE454" s="91">
        <v>-6538</v>
      </c>
      <c r="AF454" s="91">
        <v>-6538</v>
      </c>
      <c r="AG454" s="91">
        <v>-8499</v>
      </c>
      <c r="AH454" s="84">
        <v>7.3</v>
      </c>
      <c r="AI454" s="97">
        <f t="shared" si="7"/>
        <v>-16813</v>
      </c>
    </row>
    <row r="455" spans="1:35" ht="22.5">
      <c r="A455" s="55" t="s">
        <v>620</v>
      </c>
      <c r="B455" s="91">
        <v>0</v>
      </c>
      <c r="C455" s="91">
        <v>0</v>
      </c>
      <c r="D455" s="91">
        <v>0</v>
      </c>
      <c r="E455" s="90">
        <v>0</v>
      </c>
      <c r="F455" s="91">
        <v>0</v>
      </c>
      <c r="G455" s="91">
        <v>0</v>
      </c>
      <c r="H455" s="91">
        <v>0</v>
      </c>
      <c r="I455" s="91">
        <v>0</v>
      </c>
      <c r="J455" s="91">
        <v>0</v>
      </c>
      <c r="K455" s="91">
        <v>0</v>
      </c>
      <c r="L455" s="91">
        <v>0</v>
      </c>
      <c r="M455" s="91">
        <v>0</v>
      </c>
      <c r="N455" s="91">
        <v>0</v>
      </c>
      <c r="O455" s="91">
        <v>0</v>
      </c>
      <c r="P455" s="91">
        <v>0</v>
      </c>
      <c r="Q455" s="91">
        <v>0</v>
      </c>
      <c r="R455" s="91">
        <v>0</v>
      </c>
      <c r="S455" s="91">
        <v>0</v>
      </c>
      <c r="T455" s="91">
        <v>0</v>
      </c>
      <c r="U455" s="91">
        <v>0</v>
      </c>
      <c r="V455" s="202">
        <v>0</v>
      </c>
      <c r="W455" s="91">
        <v>0</v>
      </c>
      <c r="X455" s="91">
        <v>0</v>
      </c>
      <c r="Y455" s="91">
        <v>0</v>
      </c>
      <c r="Z455" s="91">
        <v>0</v>
      </c>
      <c r="AA455" s="91">
        <v>0</v>
      </c>
      <c r="AB455" s="91">
        <v>0</v>
      </c>
      <c r="AC455" s="91">
        <v>0</v>
      </c>
      <c r="AD455" s="91">
        <v>0</v>
      </c>
      <c r="AE455" s="91">
        <v>0</v>
      </c>
      <c r="AF455" s="91">
        <v>0</v>
      </c>
      <c r="AG455" s="91">
        <v>0</v>
      </c>
      <c r="AH455" s="84">
        <v>1</v>
      </c>
      <c r="AI455" s="97">
        <f t="shared" si="7"/>
        <v>0</v>
      </c>
    </row>
    <row r="456" spans="1:35" ht="22.5">
      <c r="A456" s="55" t="s">
        <v>621</v>
      </c>
      <c r="B456" s="91">
        <v>0</v>
      </c>
      <c r="C456" s="91">
        <v>0</v>
      </c>
      <c r="D456" s="91">
        <v>148</v>
      </c>
      <c r="E456" s="90">
        <v>151</v>
      </c>
      <c r="F456" s="91">
        <v>200966</v>
      </c>
      <c r="G456" s="91">
        <v>182681</v>
      </c>
      <c r="H456" s="91">
        <v>28360</v>
      </c>
      <c r="I456" s="91">
        <v>1821.1699999999937</v>
      </c>
      <c r="J456" s="91">
        <v>-10075</v>
      </c>
      <c r="K456" s="91">
        <v>219026</v>
      </c>
      <c r="L456" s="91">
        <v>184263</v>
      </c>
      <c r="M456" s="91">
        <v>174392</v>
      </c>
      <c r="N456" s="91">
        <v>232774</v>
      </c>
      <c r="O456" s="91">
        <v>23581</v>
      </c>
      <c r="P456" s="91">
        <v>6023</v>
      </c>
      <c r="Q456" s="91">
        <v>0</v>
      </c>
      <c r="R456" s="91">
        <v>0</v>
      </c>
      <c r="S456" s="91">
        <v>-11319</v>
      </c>
      <c r="T456" s="91">
        <v>0</v>
      </c>
      <c r="U456" s="91">
        <v>0</v>
      </c>
      <c r="V456" s="202">
        <v>0</v>
      </c>
      <c r="W456" s="91">
        <v>-1244</v>
      </c>
      <c r="X456" s="91">
        <v>0</v>
      </c>
      <c r="Y456" s="91">
        <v>10075</v>
      </c>
      <c r="Z456" s="91">
        <v>0</v>
      </c>
      <c r="AA456" s="91">
        <v>0</v>
      </c>
      <c r="AB456" s="91">
        <v>-1244</v>
      </c>
      <c r="AC456" s="91">
        <v>-1244</v>
      </c>
      <c r="AD456" s="91">
        <v>-1244</v>
      </c>
      <c r="AE456" s="91">
        <v>-1244</v>
      </c>
      <c r="AF456" s="91">
        <v>-1244</v>
      </c>
      <c r="AG456" s="91">
        <v>-3855</v>
      </c>
      <c r="AH456" s="84">
        <v>9.1</v>
      </c>
      <c r="AI456" s="97">
        <f t="shared" si="7"/>
        <v>18285</v>
      </c>
    </row>
    <row r="457" spans="1:35" ht="22.5">
      <c r="A457" s="55" t="s">
        <v>622</v>
      </c>
      <c r="B457" s="91">
        <v>0</v>
      </c>
      <c r="C457" s="91">
        <v>0</v>
      </c>
      <c r="D457" s="91">
        <v>133</v>
      </c>
      <c r="E457" s="90">
        <v>135</v>
      </c>
      <c r="F457" s="91">
        <v>155016</v>
      </c>
      <c r="G457" s="91">
        <v>137280</v>
      </c>
      <c r="H457" s="91">
        <v>23631</v>
      </c>
      <c r="I457" s="91">
        <v>1270.7399999999993</v>
      </c>
      <c r="J457" s="91">
        <v>-5895</v>
      </c>
      <c r="K457" s="91">
        <v>165503</v>
      </c>
      <c r="L457" s="91">
        <v>145097</v>
      </c>
      <c r="M457" s="91">
        <v>137563</v>
      </c>
      <c r="N457" s="91">
        <v>175629</v>
      </c>
      <c r="O457" s="91">
        <v>19782</v>
      </c>
      <c r="P457" s="91">
        <v>4586</v>
      </c>
      <c r="Q457" s="91">
        <v>0</v>
      </c>
      <c r="R457" s="91">
        <v>0</v>
      </c>
      <c r="S457" s="91">
        <v>-6632</v>
      </c>
      <c r="T457" s="91">
        <v>0</v>
      </c>
      <c r="U457" s="91">
        <v>0</v>
      </c>
      <c r="V457" s="202">
        <v>0</v>
      </c>
      <c r="W457" s="91">
        <v>-737</v>
      </c>
      <c r="X457" s="91">
        <v>0</v>
      </c>
      <c r="Y457" s="91">
        <v>5895</v>
      </c>
      <c r="Z457" s="91">
        <v>0</v>
      </c>
      <c r="AA457" s="91">
        <v>0</v>
      </c>
      <c r="AB457" s="91">
        <v>-737</v>
      </c>
      <c r="AC457" s="91">
        <v>-737</v>
      </c>
      <c r="AD457" s="91">
        <v>-737</v>
      </c>
      <c r="AE457" s="91">
        <v>-737</v>
      </c>
      <c r="AF457" s="91">
        <v>-737</v>
      </c>
      <c r="AG457" s="91">
        <v>-2210</v>
      </c>
      <c r="AH457" s="84">
        <v>9</v>
      </c>
      <c r="AI457" s="97">
        <f t="shared" si="7"/>
        <v>17736</v>
      </c>
    </row>
    <row r="458" spans="1:35" ht="22.5">
      <c r="A458" s="55" t="s">
        <v>623</v>
      </c>
      <c r="B458" s="91">
        <v>0</v>
      </c>
      <c r="C458" s="91">
        <v>0</v>
      </c>
      <c r="D458" s="91">
        <v>124</v>
      </c>
      <c r="E458" s="90">
        <v>131</v>
      </c>
      <c r="F458" s="91">
        <v>156734</v>
      </c>
      <c r="G458" s="91">
        <v>139695</v>
      </c>
      <c r="H458" s="91">
        <v>24778</v>
      </c>
      <c r="I458" s="91">
        <v>1090.8100000000009</v>
      </c>
      <c r="J458" s="91">
        <v>-7739</v>
      </c>
      <c r="K458" s="91">
        <v>170195</v>
      </c>
      <c r="L458" s="91">
        <v>144211</v>
      </c>
      <c r="M458" s="91">
        <v>136737</v>
      </c>
      <c r="N458" s="91">
        <v>180801</v>
      </c>
      <c r="O458" s="91">
        <v>21064</v>
      </c>
      <c r="P458" s="91">
        <v>4694</v>
      </c>
      <c r="Q458" s="91">
        <v>0</v>
      </c>
      <c r="R458" s="91">
        <v>0</v>
      </c>
      <c r="S458" s="91">
        <v>-8719</v>
      </c>
      <c r="T458" s="91">
        <v>0</v>
      </c>
      <c r="U458" s="91">
        <v>0</v>
      </c>
      <c r="V458" s="202">
        <v>0</v>
      </c>
      <c r="W458" s="91">
        <v>-980</v>
      </c>
      <c r="X458" s="91">
        <v>0</v>
      </c>
      <c r="Y458" s="91">
        <v>7739</v>
      </c>
      <c r="Z458" s="91">
        <v>0</v>
      </c>
      <c r="AA458" s="91">
        <v>0</v>
      </c>
      <c r="AB458" s="91">
        <v>-980</v>
      </c>
      <c r="AC458" s="91">
        <v>-980</v>
      </c>
      <c r="AD458" s="91">
        <v>-980</v>
      </c>
      <c r="AE458" s="91">
        <v>-980</v>
      </c>
      <c r="AF458" s="91">
        <v>-980</v>
      </c>
      <c r="AG458" s="91">
        <v>-2839</v>
      </c>
      <c r="AH458" s="84">
        <v>8.9</v>
      </c>
      <c r="AI458" s="97">
        <f t="shared" si="7"/>
        <v>17039</v>
      </c>
    </row>
    <row r="459" spans="1:35">
      <c r="A459" s="55" t="s">
        <v>624</v>
      </c>
      <c r="B459" s="91">
        <v>0</v>
      </c>
      <c r="C459" s="91">
        <v>0</v>
      </c>
      <c r="D459" s="91">
        <v>0</v>
      </c>
      <c r="E459" s="90">
        <v>0</v>
      </c>
      <c r="F459" s="91">
        <v>0</v>
      </c>
      <c r="G459" s="91">
        <v>0</v>
      </c>
      <c r="H459" s="91">
        <v>0</v>
      </c>
      <c r="I459" s="91">
        <v>0</v>
      </c>
      <c r="J459" s="91">
        <v>0</v>
      </c>
      <c r="K459" s="91">
        <v>0</v>
      </c>
      <c r="L459" s="91">
        <v>0</v>
      </c>
      <c r="M459" s="91">
        <v>0</v>
      </c>
      <c r="N459" s="91">
        <v>0</v>
      </c>
      <c r="O459" s="91">
        <v>0</v>
      </c>
      <c r="P459" s="91">
        <v>0</v>
      </c>
      <c r="Q459" s="91">
        <v>0</v>
      </c>
      <c r="R459" s="91">
        <v>0</v>
      </c>
      <c r="S459" s="91">
        <v>0</v>
      </c>
      <c r="T459" s="91">
        <v>0</v>
      </c>
      <c r="U459" s="91">
        <v>0</v>
      </c>
      <c r="V459" s="202">
        <v>0</v>
      </c>
      <c r="W459" s="91">
        <v>0</v>
      </c>
      <c r="X459" s="91">
        <v>0</v>
      </c>
      <c r="Y459" s="91">
        <v>0</v>
      </c>
      <c r="Z459" s="91">
        <v>0</v>
      </c>
      <c r="AA459" s="91">
        <v>0</v>
      </c>
      <c r="AB459" s="91">
        <v>0</v>
      </c>
      <c r="AC459" s="91">
        <v>0</v>
      </c>
      <c r="AD459" s="91">
        <v>0</v>
      </c>
      <c r="AE459" s="91">
        <v>0</v>
      </c>
      <c r="AF459" s="91">
        <v>0</v>
      </c>
      <c r="AG459" s="91">
        <v>0</v>
      </c>
      <c r="AH459" s="84">
        <v>1</v>
      </c>
      <c r="AI459" s="97">
        <f t="shared" si="7"/>
        <v>0</v>
      </c>
    </row>
    <row r="460" spans="1:35" ht="22.5">
      <c r="A460" s="55" t="s">
        <v>625</v>
      </c>
      <c r="B460" s="91">
        <v>0</v>
      </c>
      <c r="C460" s="91">
        <v>0</v>
      </c>
      <c r="D460" s="91">
        <v>4</v>
      </c>
      <c r="E460" s="90">
        <v>4</v>
      </c>
      <c r="F460" s="91">
        <v>5656</v>
      </c>
      <c r="G460" s="91">
        <v>4377</v>
      </c>
      <c r="H460" s="91">
        <v>1502</v>
      </c>
      <c r="I460" s="91">
        <v>1.1000000000000014</v>
      </c>
      <c r="J460" s="91">
        <v>-223</v>
      </c>
      <c r="K460" s="91">
        <v>6044</v>
      </c>
      <c r="L460" s="91">
        <v>5295</v>
      </c>
      <c r="M460" s="91">
        <v>4996</v>
      </c>
      <c r="N460" s="91">
        <v>6415</v>
      </c>
      <c r="O460" s="91">
        <v>1359</v>
      </c>
      <c r="P460" s="91">
        <v>168</v>
      </c>
      <c r="Q460" s="91">
        <v>0</v>
      </c>
      <c r="R460" s="91">
        <v>0</v>
      </c>
      <c r="S460" s="91">
        <v>-248</v>
      </c>
      <c r="T460" s="91">
        <v>0</v>
      </c>
      <c r="U460" s="91">
        <v>0</v>
      </c>
      <c r="V460" s="202">
        <v>0</v>
      </c>
      <c r="W460" s="91">
        <v>-25</v>
      </c>
      <c r="X460" s="91">
        <v>0</v>
      </c>
      <c r="Y460" s="91">
        <v>223</v>
      </c>
      <c r="Z460" s="91">
        <v>0</v>
      </c>
      <c r="AA460" s="91">
        <v>0</v>
      </c>
      <c r="AB460" s="91">
        <v>-25</v>
      </c>
      <c r="AC460" s="91">
        <v>-25</v>
      </c>
      <c r="AD460" s="91">
        <v>-25</v>
      </c>
      <c r="AE460" s="91">
        <v>-25</v>
      </c>
      <c r="AF460" s="91">
        <v>-25</v>
      </c>
      <c r="AG460" s="91">
        <v>-98</v>
      </c>
      <c r="AH460" s="84">
        <v>9.9</v>
      </c>
      <c r="AI460" s="97">
        <f t="shared" si="7"/>
        <v>1279</v>
      </c>
    </row>
    <row r="461" spans="1:35">
      <c r="A461" s="55" t="s">
        <v>626</v>
      </c>
      <c r="B461" s="91">
        <v>0</v>
      </c>
      <c r="C461" s="91">
        <v>0</v>
      </c>
      <c r="D461" s="91">
        <v>10</v>
      </c>
      <c r="E461" s="90">
        <v>11</v>
      </c>
      <c r="F461" s="91">
        <v>10123</v>
      </c>
      <c r="G461" s="91">
        <v>9700</v>
      </c>
      <c r="H461" s="91">
        <v>1243</v>
      </c>
      <c r="I461" s="91">
        <v>0</v>
      </c>
      <c r="J461" s="91">
        <v>-820</v>
      </c>
      <c r="K461" s="91">
        <v>11538</v>
      </c>
      <c r="L461" s="91">
        <v>8888</v>
      </c>
      <c r="M461" s="91">
        <v>8228</v>
      </c>
      <c r="N461" s="91">
        <v>12538</v>
      </c>
      <c r="O461" s="91">
        <v>1005</v>
      </c>
      <c r="P461" s="91">
        <v>313</v>
      </c>
      <c r="Q461" s="91">
        <v>0</v>
      </c>
      <c r="R461" s="91">
        <v>0</v>
      </c>
      <c r="S461" s="91">
        <v>-895</v>
      </c>
      <c r="T461" s="91">
        <v>0</v>
      </c>
      <c r="U461" s="91">
        <v>0</v>
      </c>
      <c r="V461" s="202">
        <v>0</v>
      </c>
      <c r="W461" s="91">
        <v>-75</v>
      </c>
      <c r="X461" s="91">
        <v>0</v>
      </c>
      <c r="Y461" s="91">
        <v>820</v>
      </c>
      <c r="Z461" s="91">
        <v>0</v>
      </c>
      <c r="AA461" s="91">
        <v>0</v>
      </c>
      <c r="AB461" s="91">
        <v>-75</v>
      </c>
      <c r="AC461" s="91">
        <v>-75</v>
      </c>
      <c r="AD461" s="91">
        <v>-75</v>
      </c>
      <c r="AE461" s="91">
        <v>-75</v>
      </c>
      <c r="AF461" s="91">
        <v>-75</v>
      </c>
      <c r="AG461" s="91">
        <v>-445</v>
      </c>
      <c r="AH461" s="84">
        <v>12</v>
      </c>
      <c r="AI461" s="97">
        <f t="shared" si="7"/>
        <v>423</v>
      </c>
    </row>
    <row r="462" spans="1:35">
      <c r="A462" s="55" t="s">
        <v>627</v>
      </c>
      <c r="B462" s="91">
        <v>0</v>
      </c>
      <c r="C462" s="91">
        <v>0</v>
      </c>
      <c r="D462" s="91">
        <v>0</v>
      </c>
      <c r="E462" s="90">
        <v>0</v>
      </c>
      <c r="F462" s="91">
        <v>0</v>
      </c>
      <c r="G462" s="91">
        <v>0</v>
      </c>
      <c r="H462" s="91">
        <v>0</v>
      </c>
      <c r="I462" s="91">
        <v>0</v>
      </c>
      <c r="J462" s="91">
        <v>0</v>
      </c>
      <c r="K462" s="91">
        <v>0</v>
      </c>
      <c r="L462" s="91">
        <v>0</v>
      </c>
      <c r="M462" s="91">
        <v>0</v>
      </c>
      <c r="N462" s="91">
        <v>0</v>
      </c>
      <c r="O462" s="91">
        <v>0</v>
      </c>
      <c r="P462" s="91">
        <v>0</v>
      </c>
      <c r="Q462" s="91">
        <v>0</v>
      </c>
      <c r="R462" s="91">
        <v>0</v>
      </c>
      <c r="S462" s="91">
        <v>0</v>
      </c>
      <c r="T462" s="91">
        <v>0</v>
      </c>
      <c r="U462" s="91">
        <v>0</v>
      </c>
      <c r="V462" s="202">
        <v>0</v>
      </c>
      <c r="W462" s="91">
        <v>0</v>
      </c>
      <c r="X462" s="91">
        <v>0</v>
      </c>
      <c r="Y462" s="91">
        <v>0</v>
      </c>
      <c r="Z462" s="91">
        <v>0</v>
      </c>
      <c r="AA462" s="91">
        <v>0</v>
      </c>
      <c r="AB462" s="91">
        <v>0</v>
      </c>
      <c r="AC462" s="91">
        <v>0</v>
      </c>
      <c r="AD462" s="91">
        <v>0</v>
      </c>
      <c r="AE462" s="91">
        <v>0</v>
      </c>
      <c r="AF462" s="91">
        <v>0</v>
      </c>
      <c r="AG462" s="91">
        <v>0</v>
      </c>
      <c r="AH462" s="84">
        <v>1</v>
      </c>
      <c r="AI462" s="97">
        <f t="shared" si="7"/>
        <v>0</v>
      </c>
    </row>
    <row r="463" spans="1:35">
      <c r="A463" s="55" t="s">
        <v>628</v>
      </c>
      <c r="B463" s="91">
        <v>0</v>
      </c>
      <c r="C463" s="91">
        <v>0</v>
      </c>
      <c r="D463" s="91">
        <v>14</v>
      </c>
      <c r="E463" s="90">
        <v>14</v>
      </c>
      <c r="F463" s="91">
        <v>35717</v>
      </c>
      <c r="G463" s="91">
        <v>34920</v>
      </c>
      <c r="H463" s="91">
        <v>3797</v>
      </c>
      <c r="I463" s="91">
        <v>161.57999999999998</v>
      </c>
      <c r="J463" s="91">
        <v>-3000</v>
      </c>
      <c r="K463" s="91">
        <v>40991</v>
      </c>
      <c r="L463" s="91">
        <v>31019</v>
      </c>
      <c r="M463" s="91">
        <v>28895</v>
      </c>
      <c r="N463" s="91">
        <v>44489</v>
      </c>
      <c r="O463" s="91">
        <v>2984</v>
      </c>
      <c r="P463" s="91">
        <v>1107</v>
      </c>
      <c r="Q463" s="91">
        <v>0</v>
      </c>
      <c r="R463" s="91">
        <v>0</v>
      </c>
      <c r="S463" s="91">
        <v>-3294</v>
      </c>
      <c r="T463" s="91">
        <v>0</v>
      </c>
      <c r="U463" s="91">
        <v>0</v>
      </c>
      <c r="V463" s="202">
        <v>0</v>
      </c>
      <c r="W463" s="91">
        <v>-294</v>
      </c>
      <c r="X463" s="91">
        <v>0</v>
      </c>
      <c r="Y463" s="91">
        <v>3000</v>
      </c>
      <c r="Z463" s="91">
        <v>0</v>
      </c>
      <c r="AA463" s="91">
        <v>0</v>
      </c>
      <c r="AB463" s="91">
        <v>-294</v>
      </c>
      <c r="AC463" s="91">
        <v>-294</v>
      </c>
      <c r="AD463" s="91">
        <v>-294</v>
      </c>
      <c r="AE463" s="91">
        <v>-294</v>
      </c>
      <c r="AF463" s="91">
        <v>-294</v>
      </c>
      <c r="AG463" s="91">
        <v>-1530</v>
      </c>
      <c r="AH463" s="84">
        <v>11.2</v>
      </c>
      <c r="AI463" s="97">
        <f t="shared" si="7"/>
        <v>797</v>
      </c>
    </row>
    <row r="464" spans="1:35">
      <c r="A464" s="55" t="s">
        <v>629</v>
      </c>
      <c r="B464" s="91">
        <v>6</v>
      </c>
      <c r="C464" s="91">
        <v>0</v>
      </c>
      <c r="D464" s="91">
        <v>179</v>
      </c>
      <c r="E464" s="90">
        <v>192</v>
      </c>
      <c r="F464" s="91">
        <v>2504233</v>
      </c>
      <c r="G464" s="91">
        <v>2422601</v>
      </c>
      <c r="H464" s="91">
        <v>275384</v>
      </c>
      <c r="I464" s="91">
        <v>77258.75999999998</v>
      </c>
      <c r="J464" s="91">
        <v>-124234</v>
      </c>
      <c r="K464" s="91">
        <v>2722139</v>
      </c>
      <c r="L464" s="91">
        <v>2299004</v>
      </c>
      <c r="M464" s="91">
        <v>2159640</v>
      </c>
      <c r="N464" s="91">
        <v>2921631</v>
      </c>
      <c r="O464" s="91">
        <v>213387</v>
      </c>
      <c r="P464" s="91">
        <v>75956</v>
      </c>
      <c r="Q464" s="91">
        <v>0</v>
      </c>
      <c r="R464" s="91">
        <v>0</v>
      </c>
      <c r="S464" s="91">
        <v>-138193</v>
      </c>
      <c r="T464" s="91">
        <v>69518</v>
      </c>
      <c r="U464" s="91">
        <v>0</v>
      </c>
      <c r="V464" s="202">
        <v>0</v>
      </c>
      <c r="W464" s="91">
        <v>-13959</v>
      </c>
      <c r="X464" s="91">
        <v>0</v>
      </c>
      <c r="Y464" s="91">
        <v>124234</v>
      </c>
      <c r="Z464" s="91">
        <v>0</v>
      </c>
      <c r="AA464" s="91">
        <v>0</v>
      </c>
      <c r="AB464" s="91">
        <v>-13959</v>
      </c>
      <c r="AC464" s="91">
        <v>-13959</v>
      </c>
      <c r="AD464" s="91">
        <v>-13959</v>
      </c>
      <c r="AE464" s="91">
        <v>-13959</v>
      </c>
      <c r="AF464" s="91">
        <v>-13959</v>
      </c>
      <c r="AG464" s="91">
        <v>-54439</v>
      </c>
      <c r="AH464" s="84">
        <v>9.9</v>
      </c>
      <c r="AI464" s="97">
        <f t="shared" si="7"/>
        <v>81632</v>
      </c>
    </row>
    <row r="465" spans="1:35">
      <c r="A465" s="55" t="s">
        <v>630</v>
      </c>
      <c r="B465" s="91">
        <v>0</v>
      </c>
      <c r="C465" s="91">
        <v>0</v>
      </c>
      <c r="D465" s="91">
        <v>0</v>
      </c>
      <c r="E465" s="90">
        <v>1</v>
      </c>
      <c r="F465" s="91">
        <v>0</v>
      </c>
      <c r="G465" s="91">
        <v>0</v>
      </c>
      <c r="H465" s="91">
        <v>0</v>
      </c>
      <c r="I465" s="91">
        <v>0</v>
      </c>
      <c r="J465" s="91">
        <v>0</v>
      </c>
      <c r="K465" s="91">
        <v>0</v>
      </c>
      <c r="L465" s="91">
        <v>0</v>
      </c>
      <c r="M465" s="91">
        <v>0</v>
      </c>
      <c r="N465" s="91">
        <v>0</v>
      </c>
      <c r="O465" s="91">
        <v>0</v>
      </c>
      <c r="P465" s="91">
        <v>0</v>
      </c>
      <c r="Q465" s="91">
        <v>0</v>
      </c>
      <c r="R465" s="91">
        <v>0</v>
      </c>
      <c r="S465" s="91">
        <v>0</v>
      </c>
      <c r="T465" s="91">
        <v>0</v>
      </c>
      <c r="U465" s="91">
        <v>0</v>
      </c>
      <c r="V465" s="202">
        <v>0</v>
      </c>
      <c r="W465" s="91">
        <v>0</v>
      </c>
      <c r="X465" s="91">
        <v>0</v>
      </c>
      <c r="Y465" s="91">
        <v>0</v>
      </c>
      <c r="Z465" s="91">
        <v>0</v>
      </c>
      <c r="AA465" s="91">
        <v>0</v>
      </c>
      <c r="AB465" s="91">
        <v>0</v>
      </c>
      <c r="AC465" s="91">
        <v>0</v>
      </c>
      <c r="AD465" s="91">
        <v>0</v>
      </c>
      <c r="AE465" s="91">
        <v>0</v>
      </c>
      <c r="AF465" s="91">
        <v>0</v>
      </c>
      <c r="AG465" s="91">
        <v>0</v>
      </c>
      <c r="AH465" s="84">
        <v>1</v>
      </c>
      <c r="AI465" s="97">
        <f t="shared" si="7"/>
        <v>0</v>
      </c>
    </row>
    <row r="466" spans="1:35">
      <c r="A466" s="55" t="s">
        <v>631</v>
      </c>
      <c r="B466" s="91">
        <v>0</v>
      </c>
      <c r="C466" s="91">
        <v>0</v>
      </c>
      <c r="D466" s="91">
        <v>6</v>
      </c>
      <c r="E466" s="90">
        <v>6</v>
      </c>
      <c r="F466" s="91">
        <v>9378</v>
      </c>
      <c r="G466" s="91">
        <v>8517</v>
      </c>
      <c r="H466" s="91">
        <v>1059</v>
      </c>
      <c r="I466" s="91">
        <v>108.59999999999997</v>
      </c>
      <c r="J466" s="91">
        <v>-198</v>
      </c>
      <c r="K466" s="91">
        <v>9730</v>
      </c>
      <c r="L466" s="91">
        <v>9011</v>
      </c>
      <c r="M466" s="91">
        <v>8539</v>
      </c>
      <c r="N466" s="91">
        <v>10390</v>
      </c>
      <c r="O466" s="91">
        <v>809</v>
      </c>
      <c r="P466" s="91">
        <v>272</v>
      </c>
      <c r="Q466" s="91">
        <v>0</v>
      </c>
      <c r="R466" s="91">
        <v>0</v>
      </c>
      <c r="S466" s="91">
        <v>-220</v>
      </c>
      <c r="T466" s="91">
        <v>0</v>
      </c>
      <c r="U466" s="91">
        <v>0</v>
      </c>
      <c r="V466" s="202">
        <v>0</v>
      </c>
      <c r="W466" s="91">
        <v>-22</v>
      </c>
      <c r="X466" s="91">
        <v>0</v>
      </c>
      <c r="Y466" s="91">
        <v>198</v>
      </c>
      <c r="Z466" s="91">
        <v>0</v>
      </c>
      <c r="AA466" s="91">
        <v>0</v>
      </c>
      <c r="AB466" s="91">
        <v>-22</v>
      </c>
      <c r="AC466" s="91">
        <v>-22</v>
      </c>
      <c r="AD466" s="91">
        <v>-22</v>
      </c>
      <c r="AE466" s="91">
        <v>-22</v>
      </c>
      <c r="AF466" s="91">
        <v>-22</v>
      </c>
      <c r="AG466" s="91">
        <v>-88</v>
      </c>
      <c r="AH466" s="84">
        <v>9.9</v>
      </c>
      <c r="AI466" s="97">
        <f t="shared" si="7"/>
        <v>861</v>
      </c>
    </row>
    <row r="467" spans="1:35">
      <c r="A467" s="55" t="s">
        <v>632</v>
      </c>
      <c r="B467" s="91">
        <v>0</v>
      </c>
      <c r="C467" s="91">
        <v>0</v>
      </c>
      <c r="D467" s="91">
        <v>5</v>
      </c>
      <c r="E467" s="90">
        <v>5</v>
      </c>
      <c r="F467" s="91">
        <v>4046</v>
      </c>
      <c r="G467" s="91">
        <v>3314</v>
      </c>
      <c r="H467" s="91">
        <v>1038</v>
      </c>
      <c r="I467" s="91">
        <v>0</v>
      </c>
      <c r="J467" s="91">
        <v>-306</v>
      </c>
      <c r="K467" s="91">
        <v>4643</v>
      </c>
      <c r="L467" s="91">
        <v>3514</v>
      </c>
      <c r="M467" s="91">
        <v>3241</v>
      </c>
      <c r="N467" s="91">
        <v>5047</v>
      </c>
      <c r="O467" s="91">
        <v>943</v>
      </c>
      <c r="P467" s="91">
        <v>124</v>
      </c>
      <c r="Q467" s="91">
        <v>0</v>
      </c>
      <c r="R467" s="91">
        <v>0</v>
      </c>
      <c r="S467" s="91">
        <v>-335</v>
      </c>
      <c r="T467" s="91">
        <v>0</v>
      </c>
      <c r="U467" s="91">
        <v>0</v>
      </c>
      <c r="V467" s="202">
        <v>0</v>
      </c>
      <c r="W467" s="91">
        <v>-29</v>
      </c>
      <c r="X467" s="91">
        <v>0</v>
      </c>
      <c r="Y467" s="91">
        <v>306</v>
      </c>
      <c r="Z467" s="91">
        <v>0</v>
      </c>
      <c r="AA467" s="91">
        <v>0</v>
      </c>
      <c r="AB467" s="91">
        <v>-29</v>
      </c>
      <c r="AC467" s="91">
        <v>-29</v>
      </c>
      <c r="AD467" s="91">
        <v>-29</v>
      </c>
      <c r="AE467" s="91">
        <v>-29</v>
      </c>
      <c r="AF467" s="91">
        <v>-29</v>
      </c>
      <c r="AG467" s="91">
        <v>-161</v>
      </c>
      <c r="AH467" s="84">
        <v>11.6</v>
      </c>
      <c r="AI467" s="97">
        <f t="shared" si="7"/>
        <v>732</v>
      </c>
    </row>
    <row r="468" spans="1:35" ht="22.5">
      <c r="A468" s="55" t="s">
        <v>633</v>
      </c>
      <c r="B468" s="91">
        <v>0</v>
      </c>
      <c r="C468" s="91">
        <v>0</v>
      </c>
      <c r="D468" s="91">
        <v>0</v>
      </c>
      <c r="E468" s="90">
        <v>0</v>
      </c>
      <c r="F468" s="91">
        <v>0</v>
      </c>
      <c r="G468" s="91">
        <v>0</v>
      </c>
      <c r="H468" s="91">
        <v>0</v>
      </c>
      <c r="I468" s="91">
        <v>0</v>
      </c>
      <c r="J468" s="91">
        <v>0</v>
      </c>
      <c r="K468" s="91">
        <v>0</v>
      </c>
      <c r="L468" s="91">
        <v>0</v>
      </c>
      <c r="M468" s="91">
        <v>0</v>
      </c>
      <c r="N468" s="91">
        <v>0</v>
      </c>
      <c r="O468" s="91">
        <v>0</v>
      </c>
      <c r="P468" s="91">
        <v>0</v>
      </c>
      <c r="Q468" s="91">
        <v>0</v>
      </c>
      <c r="R468" s="91">
        <v>0</v>
      </c>
      <c r="S468" s="91">
        <v>0</v>
      </c>
      <c r="T468" s="91">
        <v>0</v>
      </c>
      <c r="U468" s="91">
        <v>0</v>
      </c>
      <c r="V468" s="202">
        <v>0</v>
      </c>
      <c r="W468" s="91">
        <v>0</v>
      </c>
      <c r="X468" s="91">
        <v>0</v>
      </c>
      <c r="Y468" s="91">
        <v>0</v>
      </c>
      <c r="Z468" s="91">
        <v>0</v>
      </c>
      <c r="AA468" s="91">
        <v>0</v>
      </c>
      <c r="AB468" s="91">
        <v>0</v>
      </c>
      <c r="AC468" s="91">
        <v>0</v>
      </c>
      <c r="AD468" s="91">
        <v>0</v>
      </c>
      <c r="AE468" s="91">
        <v>0</v>
      </c>
      <c r="AF468" s="91">
        <v>0</v>
      </c>
      <c r="AG468" s="91">
        <v>0</v>
      </c>
      <c r="AH468" s="84">
        <v>1</v>
      </c>
      <c r="AI468" s="97">
        <f t="shared" si="7"/>
        <v>0</v>
      </c>
    </row>
    <row r="469" spans="1:35">
      <c r="A469" s="55" t="s">
        <v>634</v>
      </c>
      <c r="B469" s="91">
        <v>0</v>
      </c>
      <c r="C469" s="91">
        <v>0</v>
      </c>
      <c r="D469" s="91">
        <v>1</v>
      </c>
      <c r="E469" s="90">
        <v>1</v>
      </c>
      <c r="F469" s="91">
        <v>3979</v>
      </c>
      <c r="G469" s="91">
        <v>3949</v>
      </c>
      <c r="H469" s="91">
        <v>399</v>
      </c>
      <c r="I469" s="91">
        <v>0</v>
      </c>
      <c r="J469" s="91">
        <v>-369</v>
      </c>
      <c r="K469" s="91">
        <v>4581</v>
      </c>
      <c r="L469" s="91">
        <v>3418</v>
      </c>
      <c r="M469" s="91">
        <v>3141</v>
      </c>
      <c r="N469" s="91">
        <v>5057</v>
      </c>
      <c r="O469" s="91">
        <v>301</v>
      </c>
      <c r="P469" s="91">
        <v>124</v>
      </c>
      <c r="Q469" s="91">
        <v>0</v>
      </c>
      <c r="R469" s="91">
        <v>0</v>
      </c>
      <c r="S469" s="91">
        <v>-395</v>
      </c>
      <c r="T469" s="91">
        <v>0</v>
      </c>
      <c r="U469" s="91">
        <v>0</v>
      </c>
      <c r="V469" s="202">
        <v>0</v>
      </c>
      <c r="W469" s="91">
        <v>-26</v>
      </c>
      <c r="X469" s="91">
        <v>0</v>
      </c>
      <c r="Y469" s="91">
        <v>369</v>
      </c>
      <c r="Z469" s="91">
        <v>0</v>
      </c>
      <c r="AA469" s="91">
        <v>0</v>
      </c>
      <c r="AB469" s="91">
        <v>-26</v>
      </c>
      <c r="AC469" s="91">
        <v>-26</v>
      </c>
      <c r="AD469" s="91">
        <v>-26</v>
      </c>
      <c r="AE469" s="91">
        <v>-26</v>
      </c>
      <c r="AF469" s="91">
        <v>-26</v>
      </c>
      <c r="AG469" s="91">
        <v>-239</v>
      </c>
      <c r="AH469" s="84">
        <v>15.4</v>
      </c>
      <c r="AI469" s="97">
        <f t="shared" si="7"/>
        <v>30</v>
      </c>
    </row>
    <row r="470" spans="1:35">
      <c r="A470" s="55" t="s">
        <v>635</v>
      </c>
      <c r="B470" s="91">
        <v>0</v>
      </c>
      <c r="C470" s="91">
        <v>0</v>
      </c>
      <c r="D470" s="91">
        <v>4</v>
      </c>
      <c r="E470" s="90">
        <v>4</v>
      </c>
      <c r="F470" s="91">
        <v>2038</v>
      </c>
      <c r="G470" s="91">
        <v>1945</v>
      </c>
      <c r="H470" s="91">
        <v>201</v>
      </c>
      <c r="I470" s="91">
        <v>0</v>
      </c>
      <c r="J470" s="91">
        <v>-108</v>
      </c>
      <c r="K470" s="91">
        <v>2234</v>
      </c>
      <c r="L470" s="91">
        <v>1834</v>
      </c>
      <c r="M470" s="91">
        <v>1719</v>
      </c>
      <c r="N470" s="91">
        <v>2417</v>
      </c>
      <c r="O470" s="91">
        <v>151</v>
      </c>
      <c r="P470" s="91">
        <v>61</v>
      </c>
      <c r="Q470" s="91">
        <v>0</v>
      </c>
      <c r="R470" s="91">
        <v>0</v>
      </c>
      <c r="S470" s="91">
        <v>-119</v>
      </c>
      <c r="T470" s="91">
        <v>0</v>
      </c>
      <c r="U470" s="91">
        <v>0</v>
      </c>
      <c r="V470" s="202">
        <v>0</v>
      </c>
      <c r="W470" s="91">
        <v>-11</v>
      </c>
      <c r="X470" s="91">
        <v>0</v>
      </c>
      <c r="Y470" s="91">
        <v>108</v>
      </c>
      <c r="Z470" s="91">
        <v>0</v>
      </c>
      <c r="AA470" s="91">
        <v>0</v>
      </c>
      <c r="AB470" s="91">
        <v>-11</v>
      </c>
      <c r="AC470" s="91">
        <v>-11</v>
      </c>
      <c r="AD470" s="91">
        <v>-11</v>
      </c>
      <c r="AE470" s="91">
        <v>-11</v>
      </c>
      <c r="AF470" s="91">
        <v>-11</v>
      </c>
      <c r="AG470" s="91">
        <v>-53</v>
      </c>
      <c r="AH470" s="84">
        <v>10.6</v>
      </c>
      <c r="AI470" s="97">
        <f t="shared" si="7"/>
        <v>93</v>
      </c>
    </row>
    <row r="471" spans="1:35">
      <c r="A471" s="55" t="s">
        <v>636</v>
      </c>
      <c r="B471" s="91">
        <v>0</v>
      </c>
      <c r="C471" s="91">
        <v>0</v>
      </c>
      <c r="D471" s="91">
        <v>62</v>
      </c>
      <c r="E471" s="90">
        <v>92</v>
      </c>
      <c r="F471" s="91">
        <v>190159</v>
      </c>
      <c r="G471" s="91">
        <v>177514</v>
      </c>
      <c r="H471" s="91">
        <v>18237</v>
      </c>
      <c r="I471" s="91">
        <v>3403.1299999999992</v>
      </c>
      <c r="J471" s="91">
        <v>-5592</v>
      </c>
      <c r="K471" s="91">
        <v>200529</v>
      </c>
      <c r="L471" s="91">
        <v>179843</v>
      </c>
      <c r="M471" s="91">
        <v>171823</v>
      </c>
      <c r="N471" s="91">
        <v>211439</v>
      </c>
      <c r="O471" s="91">
        <v>13653</v>
      </c>
      <c r="P471" s="91">
        <v>5582</v>
      </c>
      <c r="Q471" s="91">
        <v>0</v>
      </c>
      <c r="R471" s="91">
        <v>0</v>
      </c>
      <c r="S471" s="91">
        <v>-6590</v>
      </c>
      <c r="T471" s="91">
        <v>0</v>
      </c>
      <c r="U471" s="91">
        <v>0</v>
      </c>
      <c r="V471" s="202">
        <v>0</v>
      </c>
      <c r="W471" s="91">
        <v>-998</v>
      </c>
      <c r="X471" s="91">
        <v>0</v>
      </c>
      <c r="Y471" s="91">
        <v>5592</v>
      </c>
      <c r="Z471" s="91">
        <v>0</v>
      </c>
      <c r="AA471" s="91">
        <v>0</v>
      </c>
      <c r="AB471" s="91">
        <v>-998</v>
      </c>
      <c r="AC471" s="91">
        <v>-998</v>
      </c>
      <c r="AD471" s="91">
        <v>-998</v>
      </c>
      <c r="AE471" s="91">
        <v>-998</v>
      </c>
      <c r="AF471" s="91">
        <v>-998</v>
      </c>
      <c r="AG471" s="91">
        <v>-602</v>
      </c>
      <c r="AH471" s="84">
        <v>6.6</v>
      </c>
      <c r="AI471" s="97">
        <f t="shared" si="7"/>
        <v>12645</v>
      </c>
    </row>
    <row r="472" spans="1:35">
      <c r="A472" s="55" t="s">
        <v>637</v>
      </c>
      <c r="B472" s="91">
        <v>0</v>
      </c>
      <c r="C472" s="91">
        <v>0</v>
      </c>
      <c r="D472" s="91">
        <v>0</v>
      </c>
      <c r="E472" s="90">
        <v>0</v>
      </c>
      <c r="F472" s="91">
        <v>0</v>
      </c>
      <c r="G472" s="91">
        <v>0</v>
      </c>
      <c r="H472" s="91">
        <v>0</v>
      </c>
      <c r="I472" s="91">
        <v>0</v>
      </c>
      <c r="J472" s="91">
        <v>0</v>
      </c>
      <c r="K472" s="91">
        <v>0</v>
      </c>
      <c r="L472" s="91">
        <v>0</v>
      </c>
      <c r="M472" s="91">
        <v>0</v>
      </c>
      <c r="N472" s="91">
        <v>0</v>
      </c>
      <c r="O472" s="91">
        <v>0</v>
      </c>
      <c r="P472" s="91">
        <v>0</v>
      </c>
      <c r="Q472" s="91">
        <v>0</v>
      </c>
      <c r="R472" s="91">
        <v>0</v>
      </c>
      <c r="S472" s="91">
        <v>0</v>
      </c>
      <c r="T472" s="91">
        <v>0</v>
      </c>
      <c r="U472" s="91">
        <v>0</v>
      </c>
      <c r="V472" s="202">
        <v>0</v>
      </c>
      <c r="W472" s="91">
        <v>0</v>
      </c>
      <c r="X472" s="91">
        <v>0</v>
      </c>
      <c r="Y472" s="91">
        <v>0</v>
      </c>
      <c r="Z472" s="91">
        <v>0</v>
      </c>
      <c r="AA472" s="91">
        <v>0</v>
      </c>
      <c r="AB472" s="91">
        <v>0</v>
      </c>
      <c r="AC472" s="91">
        <v>0</v>
      </c>
      <c r="AD472" s="91">
        <v>0</v>
      </c>
      <c r="AE472" s="91">
        <v>0</v>
      </c>
      <c r="AF472" s="91">
        <v>0</v>
      </c>
      <c r="AG472" s="91">
        <v>0</v>
      </c>
      <c r="AH472" s="84">
        <v>1</v>
      </c>
      <c r="AI472" s="97">
        <f t="shared" si="7"/>
        <v>0</v>
      </c>
    </row>
    <row r="473" spans="1:35">
      <c r="A473" s="55" t="s">
        <v>638</v>
      </c>
      <c r="B473" s="91">
        <v>0</v>
      </c>
      <c r="C473" s="91">
        <v>0</v>
      </c>
      <c r="D473" s="91">
        <v>0</v>
      </c>
      <c r="E473" s="90">
        <v>0</v>
      </c>
      <c r="F473" s="91">
        <v>0</v>
      </c>
      <c r="G473" s="91">
        <v>0</v>
      </c>
      <c r="H473" s="91">
        <v>0</v>
      </c>
      <c r="I473" s="91">
        <v>0</v>
      </c>
      <c r="J473" s="91">
        <v>0</v>
      </c>
      <c r="K473" s="91">
        <v>0</v>
      </c>
      <c r="L473" s="91">
        <v>0</v>
      </c>
      <c r="M473" s="91">
        <v>0</v>
      </c>
      <c r="N473" s="91">
        <v>0</v>
      </c>
      <c r="O473" s="91">
        <v>0</v>
      </c>
      <c r="P473" s="91">
        <v>0</v>
      </c>
      <c r="Q473" s="91">
        <v>0</v>
      </c>
      <c r="R473" s="91">
        <v>0</v>
      </c>
      <c r="S473" s="91">
        <v>0</v>
      </c>
      <c r="T473" s="91">
        <v>0</v>
      </c>
      <c r="U473" s="91">
        <v>0</v>
      </c>
      <c r="V473" s="202">
        <v>0</v>
      </c>
      <c r="W473" s="91">
        <v>0</v>
      </c>
      <c r="X473" s="91">
        <v>0</v>
      </c>
      <c r="Y473" s="91">
        <v>0</v>
      </c>
      <c r="Z473" s="91">
        <v>0</v>
      </c>
      <c r="AA473" s="91">
        <v>0</v>
      </c>
      <c r="AB473" s="91">
        <v>0</v>
      </c>
      <c r="AC473" s="91">
        <v>0</v>
      </c>
      <c r="AD473" s="91">
        <v>0</v>
      </c>
      <c r="AE473" s="91">
        <v>0</v>
      </c>
      <c r="AF473" s="91">
        <v>0</v>
      </c>
      <c r="AG473" s="91">
        <v>0</v>
      </c>
      <c r="AH473" s="84">
        <v>1</v>
      </c>
      <c r="AI473" s="97">
        <f t="shared" si="7"/>
        <v>0</v>
      </c>
    </row>
    <row r="474" spans="1:35">
      <c r="A474" s="55" t="s">
        <v>639</v>
      </c>
      <c r="B474" s="91">
        <v>0</v>
      </c>
      <c r="C474" s="91">
        <v>0</v>
      </c>
      <c r="D474" s="91">
        <v>0</v>
      </c>
      <c r="E474" s="90">
        <v>2</v>
      </c>
      <c r="F474" s="91">
        <v>0</v>
      </c>
      <c r="G474" s="91">
        <v>0</v>
      </c>
      <c r="H474" s="91">
        <v>0</v>
      </c>
      <c r="I474" s="91">
        <v>0</v>
      </c>
      <c r="J474" s="91">
        <v>0</v>
      </c>
      <c r="K474" s="91">
        <v>0</v>
      </c>
      <c r="L474" s="91">
        <v>0</v>
      </c>
      <c r="M474" s="91">
        <v>0</v>
      </c>
      <c r="N474" s="91">
        <v>0</v>
      </c>
      <c r="O474" s="91">
        <v>0</v>
      </c>
      <c r="P474" s="91">
        <v>0</v>
      </c>
      <c r="Q474" s="91">
        <v>0</v>
      </c>
      <c r="R474" s="91">
        <v>0</v>
      </c>
      <c r="S474" s="91">
        <v>0</v>
      </c>
      <c r="T474" s="91">
        <v>0</v>
      </c>
      <c r="U474" s="91">
        <v>0</v>
      </c>
      <c r="V474" s="202">
        <v>0</v>
      </c>
      <c r="W474" s="91">
        <v>0</v>
      </c>
      <c r="X474" s="91">
        <v>0</v>
      </c>
      <c r="Y474" s="91">
        <v>0</v>
      </c>
      <c r="Z474" s="91">
        <v>0</v>
      </c>
      <c r="AA474" s="91">
        <v>0</v>
      </c>
      <c r="AB474" s="91">
        <v>0</v>
      </c>
      <c r="AC474" s="91">
        <v>0</v>
      </c>
      <c r="AD474" s="91">
        <v>0</v>
      </c>
      <c r="AE474" s="91">
        <v>0</v>
      </c>
      <c r="AF474" s="91">
        <v>0</v>
      </c>
      <c r="AG474" s="91">
        <v>0</v>
      </c>
      <c r="AH474" s="84">
        <v>1</v>
      </c>
      <c r="AI474" s="97">
        <f t="shared" si="7"/>
        <v>0</v>
      </c>
    </row>
    <row r="475" spans="1:35">
      <c r="A475" s="55" t="s">
        <v>640</v>
      </c>
      <c r="B475" s="91">
        <v>0</v>
      </c>
      <c r="C475" s="91">
        <v>0</v>
      </c>
      <c r="D475" s="91">
        <v>2</v>
      </c>
      <c r="E475" s="90">
        <v>2</v>
      </c>
      <c r="F475" s="91">
        <v>8494</v>
      </c>
      <c r="G475" s="91">
        <v>8285</v>
      </c>
      <c r="H475" s="91">
        <v>616</v>
      </c>
      <c r="I475" s="91">
        <v>0</v>
      </c>
      <c r="J475" s="91">
        <v>-407</v>
      </c>
      <c r="K475" s="91">
        <v>9220</v>
      </c>
      <c r="L475" s="91">
        <v>7806</v>
      </c>
      <c r="M475" s="91">
        <v>7425</v>
      </c>
      <c r="N475" s="91">
        <v>9721</v>
      </c>
      <c r="O475" s="91">
        <v>418</v>
      </c>
      <c r="P475" s="91">
        <v>254</v>
      </c>
      <c r="Q475" s="91">
        <v>0</v>
      </c>
      <c r="R475" s="91">
        <v>0</v>
      </c>
      <c r="S475" s="91">
        <v>-463</v>
      </c>
      <c r="T475" s="91">
        <v>0</v>
      </c>
      <c r="U475" s="91">
        <v>0</v>
      </c>
      <c r="V475" s="202">
        <v>0</v>
      </c>
      <c r="W475" s="91">
        <v>-56</v>
      </c>
      <c r="X475" s="91">
        <v>0</v>
      </c>
      <c r="Y475" s="91">
        <v>407</v>
      </c>
      <c r="Z475" s="91">
        <v>0</v>
      </c>
      <c r="AA475" s="91">
        <v>0</v>
      </c>
      <c r="AB475" s="91">
        <v>-56</v>
      </c>
      <c r="AC475" s="91">
        <v>-56</v>
      </c>
      <c r="AD475" s="91">
        <v>-56</v>
      </c>
      <c r="AE475" s="91">
        <v>-56</v>
      </c>
      <c r="AF475" s="91">
        <v>-56</v>
      </c>
      <c r="AG475" s="91">
        <v>-127</v>
      </c>
      <c r="AH475" s="84">
        <v>8.3000000000000007</v>
      </c>
      <c r="AI475" s="97">
        <f t="shared" si="7"/>
        <v>209</v>
      </c>
    </row>
    <row r="476" spans="1:35" ht="22.5">
      <c r="A476" s="55" t="s">
        <v>641</v>
      </c>
      <c r="B476" s="91">
        <v>0</v>
      </c>
      <c r="C476" s="91">
        <v>0</v>
      </c>
      <c r="D476" s="91">
        <v>0</v>
      </c>
      <c r="E476" s="90">
        <v>0</v>
      </c>
      <c r="F476" s="91">
        <v>0</v>
      </c>
      <c r="G476" s="91">
        <v>0</v>
      </c>
      <c r="H476" s="91">
        <v>0</v>
      </c>
      <c r="I476" s="91">
        <v>0</v>
      </c>
      <c r="J476" s="91">
        <v>0</v>
      </c>
      <c r="K476" s="91">
        <v>0</v>
      </c>
      <c r="L476" s="91">
        <v>0</v>
      </c>
      <c r="M476" s="91">
        <v>0</v>
      </c>
      <c r="N476" s="91">
        <v>0</v>
      </c>
      <c r="O476" s="91">
        <v>0</v>
      </c>
      <c r="P476" s="91">
        <v>0</v>
      </c>
      <c r="Q476" s="91">
        <v>0</v>
      </c>
      <c r="R476" s="91">
        <v>0</v>
      </c>
      <c r="S476" s="91">
        <v>0</v>
      </c>
      <c r="T476" s="91">
        <v>0</v>
      </c>
      <c r="U476" s="91">
        <v>0</v>
      </c>
      <c r="V476" s="202">
        <v>0</v>
      </c>
      <c r="W476" s="91">
        <v>0</v>
      </c>
      <c r="X476" s="91">
        <v>0</v>
      </c>
      <c r="Y476" s="91">
        <v>0</v>
      </c>
      <c r="Z476" s="91">
        <v>0</v>
      </c>
      <c r="AA476" s="91">
        <v>0</v>
      </c>
      <c r="AB476" s="91">
        <v>0</v>
      </c>
      <c r="AC476" s="91">
        <v>0</v>
      </c>
      <c r="AD476" s="91">
        <v>0</v>
      </c>
      <c r="AE476" s="91">
        <v>0</v>
      </c>
      <c r="AF476" s="91">
        <v>0</v>
      </c>
      <c r="AG476" s="91">
        <v>0</v>
      </c>
      <c r="AH476" s="84">
        <v>1</v>
      </c>
      <c r="AI476" s="97">
        <f t="shared" si="7"/>
        <v>0</v>
      </c>
    </row>
    <row r="477" spans="1:35">
      <c r="A477" s="55" t="s">
        <v>642</v>
      </c>
      <c r="B477" s="91">
        <v>0</v>
      </c>
      <c r="C477" s="91">
        <v>0</v>
      </c>
      <c r="D477" s="91">
        <v>0</v>
      </c>
      <c r="E477" s="90">
        <v>0</v>
      </c>
      <c r="F477" s="91">
        <v>0</v>
      </c>
      <c r="G477" s="91">
        <v>0</v>
      </c>
      <c r="H477" s="91">
        <v>0</v>
      </c>
      <c r="I477" s="91">
        <v>0</v>
      </c>
      <c r="J477" s="91">
        <v>0</v>
      </c>
      <c r="K477" s="91">
        <v>0</v>
      </c>
      <c r="L477" s="91">
        <v>0</v>
      </c>
      <c r="M477" s="91">
        <v>0</v>
      </c>
      <c r="N477" s="91">
        <v>0</v>
      </c>
      <c r="O477" s="91">
        <v>0</v>
      </c>
      <c r="P477" s="91">
        <v>0</v>
      </c>
      <c r="Q477" s="91">
        <v>0</v>
      </c>
      <c r="R477" s="91">
        <v>0</v>
      </c>
      <c r="S477" s="91">
        <v>0</v>
      </c>
      <c r="T477" s="91">
        <v>0</v>
      </c>
      <c r="U477" s="91">
        <v>0</v>
      </c>
      <c r="V477" s="202">
        <v>0</v>
      </c>
      <c r="W477" s="91">
        <v>0</v>
      </c>
      <c r="X477" s="91">
        <v>0</v>
      </c>
      <c r="Y477" s="91">
        <v>0</v>
      </c>
      <c r="Z477" s="91">
        <v>0</v>
      </c>
      <c r="AA477" s="91">
        <v>0</v>
      </c>
      <c r="AB477" s="91">
        <v>0</v>
      </c>
      <c r="AC477" s="91">
        <v>0</v>
      </c>
      <c r="AD477" s="91">
        <v>0</v>
      </c>
      <c r="AE477" s="91">
        <v>0</v>
      </c>
      <c r="AF477" s="91">
        <v>0</v>
      </c>
      <c r="AG477" s="91">
        <v>0</v>
      </c>
      <c r="AH477" s="84">
        <v>1</v>
      </c>
      <c r="AI477" s="97">
        <f t="shared" si="7"/>
        <v>0</v>
      </c>
    </row>
    <row r="478" spans="1:35">
      <c r="A478" s="55" t="s">
        <v>643</v>
      </c>
      <c r="B478" s="91">
        <v>0</v>
      </c>
      <c r="C478" s="91">
        <v>0</v>
      </c>
      <c r="D478" s="91">
        <v>2</v>
      </c>
      <c r="E478" s="90">
        <v>2</v>
      </c>
      <c r="F478" s="91">
        <v>0</v>
      </c>
      <c r="G478" s="91">
        <v>-517</v>
      </c>
      <c r="H478" s="91">
        <v>517</v>
      </c>
      <c r="I478" s="91">
        <v>0</v>
      </c>
      <c r="J478" s="91">
        <v>0</v>
      </c>
      <c r="K478" s="91">
        <v>0</v>
      </c>
      <c r="L478" s="91">
        <v>-1</v>
      </c>
      <c r="M478" s="91">
        <v>0</v>
      </c>
      <c r="N478" s="91">
        <v>-2</v>
      </c>
      <c r="O478" s="91">
        <v>518</v>
      </c>
      <c r="P478" s="91">
        <v>0</v>
      </c>
      <c r="Q478" s="91">
        <v>0</v>
      </c>
      <c r="R478" s="91">
        <v>0</v>
      </c>
      <c r="S478" s="91">
        <v>-1</v>
      </c>
      <c r="T478" s="91">
        <v>0</v>
      </c>
      <c r="U478" s="91">
        <v>0</v>
      </c>
      <c r="V478" s="202">
        <v>0</v>
      </c>
      <c r="W478" s="91">
        <v>-1</v>
      </c>
      <c r="X478" s="91">
        <v>0</v>
      </c>
      <c r="Y478" s="91">
        <v>0</v>
      </c>
      <c r="Z478" s="91">
        <v>0</v>
      </c>
      <c r="AA478" s="91">
        <v>0</v>
      </c>
      <c r="AB478" s="91">
        <v>0</v>
      </c>
      <c r="AC478" s="91">
        <v>0</v>
      </c>
      <c r="AD478" s="91">
        <v>0</v>
      </c>
      <c r="AE478" s="91">
        <v>0</v>
      </c>
      <c r="AF478" s="91">
        <v>0</v>
      </c>
      <c r="AG478" s="91">
        <v>0</v>
      </c>
      <c r="AH478" s="84">
        <v>5.5</v>
      </c>
      <c r="AI478" s="97">
        <f t="shared" si="7"/>
        <v>517</v>
      </c>
    </row>
    <row r="479" spans="1:35">
      <c r="A479" s="55" t="s">
        <v>644</v>
      </c>
      <c r="B479" s="91">
        <v>0</v>
      </c>
      <c r="C479" s="91">
        <v>0</v>
      </c>
      <c r="D479" s="91">
        <v>0</v>
      </c>
      <c r="E479" s="90">
        <v>0</v>
      </c>
      <c r="F479" s="91">
        <v>0</v>
      </c>
      <c r="G479" s="91">
        <v>0</v>
      </c>
      <c r="H479" s="91">
        <v>0</v>
      </c>
      <c r="I479" s="91">
        <v>0</v>
      </c>
      <c r="J479" s="91">
        <v>0</v>
      </c>
      <c r="K479" s="91">
        <v>0</v>
      </c>
      <c r="L479" s="91">
        <v>0</v>
      </c>
      <c r="M479" s="91">
        <v>0</v>
      </c>
      <c r="N479" s="91">
        <v>0</v>
      </c>
      <c r="O479" s="91">
        <v>0</v>
      </c>
      <c r="P479" s="91">
        <v>0</v>
      </c>
      <c r="Q479" s="91">
        <v>0</v>
      </c>
      <c r="R479" s="91">
        <v>0</v>
      </c>
      <c r="S479" s="91">
        <v>0</v>
      </c>
      <c r="T479" s="91">
        <v>0</v>
      </c>
      <c r="U479" s="91">
        <v>0</v>
      </c>
      <c r="V479" s="202">
        <v>0</v>
      </c>
      <c r="W479" s="91">
        <v>0</v>
      </c>
      <c r="X479" s="91">
        <v>0</v>
      </c>
      <c r="Y479" s="91">
        <v>0</v>
      </c>
      <c r="Z479" s="91">
        <v>0</v>
      </c>
      <c r="AA479" s="91">
        <v>0</v>
      </c>
      <c r="AB479" s="91">
        <v>0</v>
      </c>
      <c r="AC479" s="91">
        <v>0</v>
      </c>
      <c r="AD479" s="91">
        <v>0</v>
      </c>
      <c r="AE479" s="91">
        <v>0</v>
      </c>
      <c r="AF479" s="91">
        <v>0</v>
      </c>
      <c r="AG479" s="91">
        <v>0</v>
      </c>
      <c r="AH479" s="84">
        <v>1</v>
      </c>
      <c r="AI479" s="97">
        <f t="shared" si="7"/>
        <v>0</v>
      </c>
    </row>
    <row r="480" spans="1:35">
      <c r="A480" s="55" t="s">
        <v>645</v>
      </c>
      <c r="B480" s="91">
        <v>1</v>
      </c>
      <c r="C480" s="91">
        <v>0</v>
      </c>
      <c r="D480" s="91">
        <v>1</v>
      </c>
      <c r="E480" s="90">
        <v>2</v>
      </c>
      <c r="F480" s="91">
        <v>10950</v>
      </c>
      <c r="G480" s="91">
        <v>15406</v>
      </c>
      <c r="H480" s="91">
        <v>599</v>
      </c>
      <c r="I480" s="91">
        <v>4747.78</v>
      </c>
      <c r="J480" s="91">
        <v>-280</v>
      </c>
      <c r="K480" s="91">
        <v>11435</v>
      </c>
      <c r="L480" s="91">
        <v>10510</v>
      </c>
      <c r="M480" s="91">
        <v>10276</v>
      </c>
      <c r="N480" s="91">
        <v>11785</v>
      </c>
      <c r="O480" s="91">
        <v>254</v>
      </c>
      <c r="P480" s="91">
        <v>388</v>
      </c>
      <c r="Q480" s="91">
        <v>0</v>
      </c>
      <c r="R480" s="91">
        <v>0</v>
      </c>
      <c r="S480" s="91">
        <v>-323</v>
      </c>
      <c r="T480" s="91">
        <v>4775</v>
      </c>
      <c r="U480" s="91">
        <v>0</v>
      </c>
      <c r="V480" s="202">
        <v>0</v>
      </c>
      <c r="W480" s="91">
        <v>-43</v>
      </c>
      <c r="X480" s="91">
        <v>0</v>
      </c>
      <c r="Y480" s="91">
        <v>280</v>
      </c>
      <c r="Z480" s="91">
        <v>0</v>
      </c>
      <c r="AA480" s="91">
        <v>0</v>
      </c>
      <c r="AB480" s="91">
        <v>-43</v>
      </c>
      <c r="AC480" s="91">
        <v>-43</v>
      </c>
      <c r="AD480" s="91">
        <v>-43</v>
      </c>
      <c r="AE480" s="91">
        <v>-43</v>
      </c>
      <c r="AF480" s="91">
        <v>-43</v>
      </c>
      <c r="AG480" s="91">
        <v>-65</v>
      </c>
      <c r="AH480" s="84">
        <v>7.5</v>
      </c>
      <c r="AI480" s="97">
        <f t="shared" si="7"/>
        <v>-4456</v>
      </c>
    </row>
    <row r="481" spans="1:35">
      <c r="A481" s="55" t="s">
        <v>646</v>
      </c>
      <c r="B481" s="91">
        <v>0</v>
      </c>
      <c r="C481" s="91">
        <v>0</v>
      </c>
      <c r="D481" s="91">
        <v>10</v>
      </c>
      <c r="E481" s="90">
        <v>11</v>
      </c>
      <c r="F481" s="91">
        <v>35272</v>
      </c>
      <c r="G481" s="91">
        <v>33518</v>
      </c>
      <c r="H481" s="91">
        <v>3363</v>
      </c>
      <c r="I481" s="91">
        <v>82.489999999999952</v>
      </c>
      <c r="J481" s="91">
        <v>-1609</v>
      </c>
      <c r="K481" s="91">
        <v>38095</v>
      </c>
      <c r="L481" s="91">
        <v>32575</v>
      </c>
      <c r="M481" s="91">
        <v>30692</v>
      </c>
      <c r="N481" s="91">
        <v>40749</v>
      </c>
      <c r="O481" s="91">
        <v>2503</v>
      </c>
      <c r="P481" s="91">
        <v>1052</v>
      </c>
      <c r="Q481" s="91">
        <v>0</v>
      </c>
      <c r="R481" s="91">
        <v>0</v>
      </c>
      <c r="S481" s="91">
        <v>-1801</v>
      </c>
      <c r="T481" s="91">
        <v>0</v>
      </c>
      <c r="U481" s="91">
        <v>0</v>
      </c>
      <c r="V481" s="202">
        <v>0</v>
      </c>
      <c r="W481" s="91">
        <v>-192</v>
      </c>
      <c r="X481" s="91">
        <v>0</v>
      </c>
      <c r="Y481" s="91">
        <v>1609</v>
      </c>
      <c r="Z481" s="91">
        <v>0</v>
      </c>
      <c r="AA481" s="91">
        <v>0</v>
      </c>
      <c r="AB481" s="91">
        <v>-192</v>
      </c>
      <c r="AC481" s="91">
        <v>-192</v>
      </c>
      <c r="AD481" s="91">
        <v>-192</v>
      </c>
      <c r="AE481" s="91">
        <v>-192</v>
      </c>
      <c r="AF481" s="91">
        <v>-192</v>
      </c>
      <c r="AG481" s="91">
        <v>-649</v>
      </c>
      <c r="AH481" s="84">
        <v>9.4</v>
      </c>
      <c r="AI481" s="97">
        <f t="shared" si="7"/>
        <v>1754</v>
      </c>
    </row>
    <row r="482" spans="1:35">
      <c r="A482" s="55" t="s">
        <v>647</v>
      </c>
      <c r="B482" s="91">
        <v>0</v>
      </c>
      <c r="C482" s="91">
        <v>0</v>
      </c>
      <c r="D482" s="91">
        <v>3</v>
      </c>
      <c r="E482" s="90">
        <v>3</v>
      </c>
      <c r="F482" s="91">
        <v>2410</v>
      </c>
      <c r="G482" s="91">
        <v>1696</v>
      </c>
      <c r="H482" s="91">
        <v>760</v>
      </c>
      <c r="I482" s="91">
        <v>124.81000000000006</v>
      </c>
      <c r="J482" s="91">
        <v>-46</v>
      </c>
      <c r="K482" s="91">
        <v>2481</v>
      </c>
      <c r="L482" s="91">
        <v>2327</v>
      </c>
      <c r="M482" s="91">
        <v>2210</v>
      </c>
      <c r="N482" s="91">
        <v>2628</v>
      </c>
      <c r="O482" s="91">
        <v>697</v>
      </c>
      <c r="P482" s="91">
        <v>70</v>
      </c>
      <c r="Q482" s="91">
        <v>0</v>
      </c>
      <c r="R482" s="91">
        <v>0</v>
      </c>
      <c r="S482" s="91">
        <v>-53</v>
      </c>
      <c r="T482" s="91">
        <v>0</v>
      </c>
      <c r="U482" s="91">
        <v>0</v>
      </c>
      <c r="V482" s="202">
        <v>0</v>
      </c>
      <c r="W482" s="91">
        <v>-7</v>
      </c>
      <c r="X482" s="91">
        <v>0</v>
      </c>
      <c r="Y482" s="91">
        <v>46</v>
      </c>
      <c r="Z482" s="91">
        <v>0</v>
      </c>
      <c r="AA482" s="91">
        <v>0</v>
      </c>
      <c r="AB482" s="91">
        <v>-7</v>
      </c>
      <c r="AC482" s="91">
        <v>-7</v>
      </c>
      <c r="AD482" s="91">
        <v>-7</v>
      </c>
      <c r="AE482" s="91">
        <v>-7</v>
      </c>
      <c r="AF482" s="91">
        <v>-7</v>
      </c>
      <c r="AG482" s="91">
        <v>-11</v>
      </c>
      <c r="AH482" s="84">
        <v>7.2</v>
      </c>
      <c r="AI482" s="97">
        <f t="shared" si="7"/>
        <v>714</v>
      </c>
    </row>
    <row r="483" spans="1:35">
      <c r="A483" s="55" t="s">
        <v>648</v>
      </c>
      <c r="B483" s="91">
        <v>0</v>
      </c>
      <c r="C483" s="91">
        <v>0</v>
      </c>
      <c r="D483" s="91">
        <v>15</v>
      </c>
      <c r="E483" s="90">
        <v>17</v>
      </c>
      <c r="F483" s="91">
        <v>25517</v>
      </c>
      <c r="G483" s="91">
        <v>23644</v>
      </c>
      <c r="H483" s="91">
        <v>3213</v>
      </c>
      <c r="I483" s="91">
        <v>259.95</v>
      </c>
      <c r="J483" s="91">
        <v>-1340</v>
      </c>
      <c r="K483" s="91">
        <v>27930</v>
      </c>
      <c r="L483" s="91">
        <v>23247</v>
      </c>
      <c r="M483" s="91">
        <v>21808</v>
      </c>
      <c r="N483" s="91">
        <v>29857</v>
      </c>
      <c r="O483" s="91">
        <v>2613</v>
      </c>
      <c r="P483" s="91">
        <v>767</v>
      </c>
      <c r="Q483" s="91">
        <v>0</v>
      </c>
      <c r="R483" s="91">
        <v>0</v>
      </c>
      <c r="S483" s="91">
        <v>-1507</v>
      </c>
      <c r="T483" s="91">
        <v>0</v>
      </c>
      <c r="U483" s="91">
        <v>0</v>
      </c>
      <c r="V483" s="202">
        <v>0</v>
      </c>
      <c r="W483" s="91">
        <v>-167</v>
      </c>
      <c r="X483" s="91">
        <v>0</v>
      </c>
      <c r="Y483" s="91">
        <v>1340</v>
      </c>
      <c r="Z483" s="91">
        <v>0</v>
      </c>
      <c r="AA483" s="91">
        <v>0</v>
      </c>
      <c r="AB483" s="91">
        <v>-167</v>
      </c>
      <c r="AC483" s="91">
        <v>-167</v>
      </c>
      <c r="AD483" s="91">
        <v>-167</v>
      </c>
      <c r="AE483" s="91">
        <v>-167</v>
      </c>
      <c r="AF483" s="91">
        <v>-167</v>
      </c>
      <c r="AG483" s="91">
        <v>-505</v>
      </c>
      <c r="AH483" s="84">
        <v>9</v>
      </c>
      <c r="AI483" s="97">
        <f t="shared" si="7"/>
        <v>1873</v>
      </c>
    </row>
    <row r="484" spans="1:35">
      <c r="A484" s="55" t="s">
        <v>649</v>
      </c>
      <c r="B484" s="91">
        <v>0</v>
      </c>
      <c r="C484" s="91">
        <v>0</v>
      </c>
      <c r="D484" s="91">
        <v>0</v>
      </c>
      <c r="E484" s="90">
        <v>0</v>
      </c>
      <c r="F484" s="91">
        <v>0</v>
      </c>
      <c r="G484" s="91">
        <v>0</v>
      </c>
      <c r="H484" s="91">
        <v>0</v>
      </c>
      <c r="I484" s="91">
        <v>0</v>
      </c>
      <c r="J484" s="91">
        <v>0</v>
      </c>
      <c r="K484" s="91">
        <v>0</v>
      </c>
      <c r="L484" s="91">
        <v>0</v>
      </c>
      <c r="M484" s="91">
        <v>0</v>
      </c>
      <c r="N484" s="91">
        <v>0</v>
      </c>
      <c r="O484" s="91">
        <v>0</v>
      </c>
      <c r="P484" s="91">
        <v>0</v>
      </c>
      <c r="Q484" s="91">
        <v>0</v>
      </c>
      <c r="R484" s="91">
        <v>0</v>
      </c>
      <c r="S484" s="91">
        <v>0</v>
      </c>
      <c r="T484" s="91">
        <v>0</v>
      </c>
      <c r="U484" s="91">
        <v>0</v>
      </c>
      <c r="V484" s="202">
        <v>0</v>
      </c>
      <c r="W484" s="91">
        <v>0</v>
      </c>
      <c r="X484" s="91">
        <v>0</v>
      </c>
      <c r="Y484" s="91">
        <v>0</v>
      </c>
      <c r="Z484" s="91">
        <v>0</v>
      </c>
      <c r="AA484" s="91">
        <v>0</v>
      </c>
      <c r="AB484" s="91">
        <v>0</v>
      </c>
      <c r="AC484" s="91">
        <v>0</v>
      </c>
      <c r="AD484" s="91">
        <v>0</v>
      </c>
      <c r="AE484" s="91">
        <v>0</v>
      </c>
      <c r="AF484" s="91">
        <v>0</v>
      </c>
      <c r="AG484" s="91">
        <v>0</v>
      </c>
      <c r="AH484" s="84">
        <v>1</v>
      </c>
      <c r="AI484" s="97">
        <f t="shared" si="7"/>
        <v>0</v>
      </c>
    </row>
    <row r="485" spans="1:35">
      <c r="A485" s="55" t="s">
        <v>650</v>
      </c>
      <c r="B485" s="91">
        <v>0</v>
      </c>
      <c r="C485" s="91">
        <v>0</v>
      </c>
      <c r="D485" s="91">
        <v>15</v>
      </c>
      <c r="E485" s="90">
        <v>16</v>
      </c>
      <c r="F485" s="91">
        <v>49423</v>
      </c>
      <c r="G485" s="91">
        <v>47658</v>
      </c>
      <c r="H485" s="91">
        <v>4227</v>
      </c>
      <c r="I485" s="91">
        <v>1025.7200000000003</v>
      </c>
      <c r="J485" s="91">
        <v>-2462</v>
      </c>
      <c r="K485" s="91">
        <v>53849</v>
      </c>
      <c r="L485" s="91">
        <v>45284</v>
      </c>
      <c r="M485" s="91">
        <v>42923</v>
      </c>
      <c r="N485" s="91">
        <v>57335</v>
      </c>
      <c r="O485" s="91">
        <v>3074</v>
      </c>
      <c r="P485" s="91">
        <v>1481</v>
      </c>
      <c r="Q485" s="91">
        <v>0</v>
      </c>
      <c r="R485" s="91">
        <v>0</v>
      </c>
      <c r="S485" s="91">
        <v>-2790</v>
      </c>
      <c r="T485" s="91">
        <v>0</v>
      </c>
      <c r="U485" s="91">
        <v>0</v>
      </c>
      <c r="V485" s="202">
        <v>0</v>
      </c>
      <c r="W485" s="91">
        <v>-328</v>
      </c>
      <c r="X485" s="91">
        <v>0</v>
      </c>
      <c r="Y485" s="91">
        <v>2462</v>
      </c>
      <c r="Z485" s="91">
        <v>0</v>
      </c>
      <c r="AA485" s="91">
        <v>0</v>
      </c>
      <c r="AB485" s="91">
        <v>-328</v>
      </c>
      <c r="AC485" s="91">
        <v>-328</v>
      </c>
      <c r="AD485" s="91">
        <v>-328</v>
      </c>
      <c r="AE485" s="91">
        <v>-328</v>
      </c>
      <c r="AF485" s="91">
        <v>-328</v>
      </c>
      <c r="AG485" s="91">
        <v>-822</v>
      </c>
      <c r="AH485" s="84">
        <v>8.5</v>
      </c>
      <c r="AI485" s="97">
        <f t="shared" si="7"/>
        <v>1765</v>
      </c>
    </row>
    <row r="486" spans="1:35">
      <c r="A486" s="55" t="s">
        <v>651</v>
      </c>
      <c r="B486" s="91">
        <v>0</v>
      </c>
      <c r="C486" s="91">
        <v>0</v>
      </c>
      <c r="D486" s="91">
        <v>1</v>
      </c>
      <c r="E486" s="90">
        <v>2</v>
      </c>
      <c r="F486" s="91">
        <v>0</v>
      </c>
      <c r="G486" s="91">
        <v>0</v>
      </c>
      <c r="H486" s="91">
        <v>0</v>
      </c>
      <c r="I486" s="91">
        <v>0</v>
      </c>
      <c r="J486" s="91">
        <v>0</v>
      </c>
      <c r="K486" s="91">
        <v>0</v>
      </c>
      <c r="L486" s="91">
        <v>0</v>
      </c>
      <c r="M486" s="91">
        <v>0</v>
      </c>
      <c r="N486" s="91">
        <v>0</v>
      </c>
      <c r="O486" s="91">
        <v>0</v>
      </c>
      <c r="P486" s="91">
        <v>0</v>
      </c>
      <c r="Q486" s="91">
        <v>0</v>
      </c>
      <c r="R486" s="91">
        <v>0</v>
      </c>
      <c r="S486" s="91">
        <v>0</v>
      </c>
      <c r="T486" s="91">
        <v>0</v>
      </c>
      <c r="U486" s="91">
        <v>0</v>
      </c>
      <c r="V486" s="202">
        <v>0</v>
      </c>
      <c r="W486" s="91">
        <v>0</v>
      </c>
      <c r="X486" s="91">
        <v>0</v>
      </c>
      <c r="Y486" s="91">
        <v>0</v>
      </c>
      <c r="Z486" s="91">
        <v>0</v>
      </c>
      <c r="AA486" s="91">
        <v>0</v>
      </c>
      <c r="AB486" s="91">
        <v>0</v>
      </c>
      <c r="AC486" s="91">
        <v>0</v>
      </c>
      <c r="AD486" s="91">
        <v>0</v>
      </c>
      <c r="AE486" s="91">
        <v>0</v>
      </c>
      <c r="AF486" s="91">
        <v>0</v>
      </c>
      <c r="AG486" s="91">
        <v>0</v>
      </c>
      <c r="AH486" s="84">
        <v>5.9</v>
      </c>
      <c r="AI486" s="97">
        <f t="shared" si="7"/>
        <v>0</v>
      </c>
    </row>
    <row r="487" spans="1:35">
      <c r="A487" s="55" t="s">
        <v>652</v>
      </c>
      <c r="B487" s="91">
        <v>1</v>
      </c>
      <c r="C487" s="91">
        <v>0</v>
      </c>
      <c r="D487" s="91">
        <v>16</v>
      </c>
      <c r="E487" s="90">
        <v>17</v>
      </c>
      <c r="F487" s="91">
        <v>300711</v>
      </c>
      <c r="G487" s="91">
        <v>296930</v>
      </c>
      <c r="H487" s="91">
        <v>23410</v>
      </c>
      <c r="I487" s="91">
        <v>13215.85</v>
      </c>
      <c r="J487" s="91">
        <v>-9263</v>
      </c>
      <c r="K487" s="91">
        <v>317891</v>
      </c>
      <c r="L487" s="91">
        <v>283886</v>
      </c>
      <c r="M487" s="91">
        <v>273788</v>
      </c>
      <c r="N487" s="91">
        <v>331486</v>
      </c>
      <c r="O487" s="91">
        <v>16135</v>
      </c>
      <c r="P487" s="91">
        <v>8990</v>
      </c>
      <c r="Q487" s="91">
        <v>0</v>
      </c>
      <c r="R487" s="91">
        <v>0</v>
      </c>
      <c r="S487" s="91">
        <v>-10978</v>
      </c>
      <c r="T487" s="91">
        <v>10366</v>
      </c>
      <c r="U487" s="91">
        <v>0</v>
      </c>
      <c r="V487" s="202">
        <v>0</v>
      </c>
      <c r="W487" s="91">
        <v>-1715</v>
      </c>
      <c r="X487" s="91">
        <v>0</v>
      </c>
      <c r="Y487" s="91">
        <v>9263</v>
      </c>
      <c r="Z487" s="91">
        <v>0</v>
      </c>
      <c r="AA487" s="91">
        <v>0</v>
      </c>
      <c r="AB487" s="91">
        <v>-1715</v>
      </c>
      <c r="AC487" s="91">
        <v>-1715</v>
      </c>
      <c r="AD487" s="91">
        <v>-1715</v>
      </c>
      <c r="AE487" s="91">
        <v>-1715</v>
      </c>
      <c r="AF487" s="91">
        <v>-1715</v>
      </c>
      <c r="AG487" s="91">
        <v>-688</v>
      </c>
      <c r="AH487" s="84">
        <v>6.4</v>
      </c>
      <c r="AI487" s="97">
        <f t="shared" si="7"/>
        <v>3781</v>
      </c>
    </row>
    <row r="488" spans="1:35">
      <c r="A488" s="55" t="s">
        <v>653</v>
      </c>
      <c r="B488" s="91">
        <v>0</v>
      </c>
      <c r="C488" s="91">
        <v>0</v>
      </c>
      <c r="D488" s="91">
        <v>3</v>
      </c>
      <c r="E488" s="90">
        <v>3</v>
      </c>
      <c r="F488" s="91">
        <v>3696</v>
      </c>
      <c r="G488" s="91">
        <v>3027</v>
      </c>
      <c r="H488" s="91">
        <v>733</v>
      </c>
      <c r="I488" s="91">
        <v>32.06</v>
      </c>
      <c r="J488" s="91">
        <v>-64</v>
      </c>
      <c r="K488" s="91">
        <v>3814</v>
      </c>
      <c r="L488" s="91">
        <v>3572</v>
      </c>
      <c r="M488" s="91">
        <v>3376</v>
      </c>
      <c r="N488" s="91">
        <v>4024</v>
      </c>
      <c r="O488" s="91">
        <v>635</v>
      </c>
      <c r="P488" s="91">
        <v>107</v>
      </c>
      <c r="Q488" s="91">
        <v>0</v>
      </c>
      <c r="R488" s="91">
        <v>0</v>
      </c>
      <c r="S488" s="91">
        <v>-73</v>
      </c>
      <c r="T488" s="91">
        <v>0</v>
      </c>
      <c r="U488" s="91">
        <v>0</v>
      </c>
      <c r="V488" s="202">
        <v>0</v>
      </c>
      <c r="W488" s="91">
        <v>-9</v>
      </c>
      <c r="X488" s="91">
        <v>0</v>
      </c>
      <c r="Y488" s="91">
        <v>64</v>
      </c>
      <c r="Z488" s="91">
        <v>0</v>
      </c>
      <c r="AA488" s="91">
        <v>0</v>
      </c>
      <c r="AB488" s="91">
        <v>-9</v>
      </c>
      <c r="AC488" s="91">
        <v>-9</v>
      </c>
      <c r="AD488" s="91">
        <v>-9</v>
      </c>
      <c r="AE488" s="91">
        <v>-9</v>
      </c>
      <c r="AF488" s="91">
        <v>-9</v>
      </c>
      <c r="AG488" s="91">
        <v>-19</v>
      </c>
      <c r="AH488" s="84">
        <v>8.4</v>
      </c>
      <c r="AI488" s="97">
        <f t="shared" si="7"/>
        <v>669</v>
      </c>
    </row>
    <row r="489" spans="1:35" ht="22.5">
      <c r="A489" s="55" t="s">
        <v>654</v>
      </c>
      <c r="B489" s="91">
        <v>0</v>
      </c>
      <c r="C489" s="91">
        <v>0</v>
      </c>
      <c r="D489" s="91">
        <v>102</v>
      </c>
      <c r="E489" s="90">
        <v>102</v>
      </c>
      <c r="F489" s="91">
        <v>41606</v>
      </c>
      <c r="G489" s="91">
        <v>31837</v>
      </c>
      <c r="H489" s="91">
        <v>10899</v>
      </c>
      <c r="I489" s="91">
        <v>464.85999999999945</v>
      </c>
      <c r="J489" s="91">
        <v>-1130</v>
      </c>
      <c r="K489" s="91">
        <v>43586</v>
      </c>
      <c r="L489" s="91">
        <v>39618</v>
      </c>
      <c r="M489" s="91">
        <v>37940</v>
      </c>
      <c r="N489" s="91">
        <v>45810</v>
      </c>
      <c r="O489" s="91">
        <v>9844</v>
      </c>
      <c r="P489" s="91">
        <v>1217</v>
      </c>
      <c r="Q489" s="91">
        <v>0</v>
      </c>
      <c r="R489" s="91">
        <v>0</v>
      </c>
      <c r="S489" s="91">
        <v>-1292</v>
      </c>
      <c r="T489" s="91">
        <v>0</v>
      </c>
      <c r="U489" s="91">
        <v>0</v>
      </c>
      <c r="V489" s="202">
        <v>0</v>
      </c>
      <c r="W489" s="91">
        <v>-162</v>
      </c>
      <c r="X489" s="91">
        <v>0</v>
      </c>
      <c r="Y489" s="91">
        <v>1130</v>
      </c>
      <c r="Z489" s="91">
        <v>0</v>
      </c>
      <c r="AA489" s="91">
        <v>0</v>
      </c>
      <c r="AB489" s="91">
        <v>-162</v>
      </c>
      <c r="AC489" s="91">
        <v>-162</v>
      </c>
      <c r="AD489" s="91">
        <v>-162</v>
      </c>
      <c r="AE489" s="91">
        <v>-162</v>
      </c>
      <c r="AF489" s="91">
        <v>-162</v>
      </c>
      <c r="AG489" s="91">
        <v>-320</v>
      </c>
      <c r="AH489" s="84">
        <v>8</v>
      </c>
      <c r="AI489" s="97">
        <f t="shared" si="7"/>
        <v>9769</v>
      </c>
    </row>
    <row r="490" spans="1:35">
      <c r="A490" s="55" t="s">
        <v>655</v>
      </c>
      <c r="B490" s="91">
        <v>0</v>
      </c>
      <c r="C490" s="91">
        <v>0</v>
      </c>
      <c r="D490" s="91">
        <v>10</v>
      </c>
      <c r="E490" s="90">
        <v>10</v>
      </c>
      <c r="F490" s="91">
        <v>11824</v>
      </c>
      <c r="G490" s="91">
        <v>9685</v>
      </c>
      <c r="H490" s="91">
        <v>2718</v>
      </c>
      <c r="I490" s="91">
        <v>72.740000000000009</v>
      </c>
      <c r="J490" s="91">
        <v>-579</v>
      </c>
      <c r="K490" s="91">
        <v>12834</v>
      </c>
      <c r="L490" s="91">
        <v>10931</v>
      </c>
      <c r="M490" s="91">
        <v>10256</v>
      </c>
      <c r="N490" s="91">
        <v>13867</v>
      </c>
      <c r="O490" s="91">
        <v>2422</v>
      </c>
      <c r="P490" s="91">
        <v>354</v>
      </c>
      <c r="Q490" s="91">
        <v>0</v>
      </c>
      <c r="R490" s="91">
        <v>0</v>
      </c>
      <c r="S490" s="91">
        <v>-637</v>
      </c>
      <c r="T490" s="91">
        <v>0</v>
      </c>
      <c r="U490" s="91">
        <v>0</v>
      </c>
      <c r="V490" s="202">
        <v>0</v>
      </c>
      <c r="W490" s="91">
        <v>-58</v>
      </c>
      <c r="X490" s="91">
        <v>0</v>
      </c>
      <c r="Y490" s="91">
        <v>579</v>
      </c>
      <c r="Z490" s="91">
        <v>0</v>
      </c>
      <c r="AA490" s="91">
        <v>0</v>
      </c>
      <c r="AB490" s="91">
        <v>-58</v>
      </c>
      <c r="AC490" s="91">
        <v>-58</v>
      </c>
      <c r="AD490" s="91">
        <v>-58</v>
      </c>
      <c r="AE490" s="91">
        <v>-58</v>
      </c>
      <c r="AF490" s="91">
        <v>-58</v>
      </c>
      <c r="AG490" s="91">
        <v>-289</v>
      </c>
      <c r="AH490" s="84">
        <v>10.9</v>
      </c>
      <c r="AI490" s="97">
        <f t="shared" si="7"/>
        <v>2139</v>
      </c>
    </row>
    <row r="491" spans="1:35">
      <c r="A491" s="55" t="s">
        <v>656</v>
      </c>
      <c r="B491" s="91">
        <v>0</v>
      </c>
      <c r="C491" s="91">
        <v>0</v>
      </c>
      <c r="D491" s="91">
        <v>25</v>
      </c>
      <c r="E491" s="90">
        <v>26</v>
      </c>
      <c r="F491" s="91">
        <v>10417</v>
      </c>
      <c r="G491" s="91">
        <v>8428</v>
      </c>
      <c r="H491" s="91">
        <v>2714</v>
      </c>
      <c r="I491" s="91">
        <v>0</v>
      </c>
      <c r="J491" s="91">
        <v>-725</v>
      </c>
      <c r="K491" s="91">
        <v>11653</v>
      </c>
      <c r="L491" s="91">
        <v>9334</v>
      </c>
      <c r="M491" s="91">
        <v>8646</v>
      </c>
      <c r="N491" s="91">
        <v>12699</v>
      </c>
      <c r="O491" s="91">
        <v>2468</v>
      </c>
      <c r="P491" s="91">
        <v>318</v>
      </c>
      <c r="Q491" s="91">
        <v>0</v>
      </c>
      <c r="R491" s="91">
        <v>0</v>
      </c>
      <c r="S491" s="91">
        <v>-797</v>
      </c>
      <c r="T491" s="91">
        <v>0</v>
      </c>
      <c r="U491" s="91">
        <v>0</v>
      </c>
      <c r="V491" s="202">
        <v>0</v>
      </c>
      <c r="W491" s="91">
        <v>-72</v>
      </c>
      <c r="X491" s="91">
        <v>0</v>
      </c>
      <c r="Y491" s="91">
        <v>725</v>
      </c>
      <c r="Z491" s="91">
        <v>0</v>
      </c>
      <c r="AA491" s="91">
        <v>0</v>
      </c>
      <c r="AB491" s="91">
        <v>-72</v>
      </c>
      <c r="AC491" s="91">
        <v>-72</v>
      </c>
      <c r="AD491" s="91">
        <v>-72</v>
      </c>
      <c r="AE491" s="91">
        <v>-72</v>
      </c>
      <c r="AF491" s="91">
        <v>-72</v>
      </c>
      <c r="AG491" s="91">
        <v>-365</v>
      </c>
      <c r="AH491" s="84">
        <v>11.1</v>
      </c>
      <c r="AI491" s="97">
        <f t="shared" si="7"/>
        <v>1989</v>
      </c>
    </row>
    <row r="492" spans="1:35">
      <c r="A492" s="55" t="s">
        <v>657</v>
      </c>
      <c r="B492" s="91">
        <v>0</v>
      </c>
      <c r="C492" s="91">
        <v>0</v>
      </c>
      <c r="D492" s="91">
        <v>0</v>
      </c>
      <c r="E492" s="90">
        <v>0</v>
      </c>
      <c r="F492" s="91">
        <v>0</v>
      </c>
      <c r="G492" s="91">
        <v>0</v>
      </c>
      <c r="H492" s="91">
        <v>0</v>
      </c>
      <c r="I492" s="91">
        <v>0</v>
      </c>
      <c r="J492" s="91">
        <v>0</v>
      </c>
      <c r="K492" s="91">
        <v>0</v>
      </c>
      <c r="L492" s="91">
        <v>0</v>
      </c>
      <c r="M492" s="91">
        <v>0</v>
      </c>
      <c r="N492" s="91">
        <v>0</v>
      </c>
      <c r="O492" s="91">
        <v>0</v>
      </c>
      <c r="P492" s="91">
        <v>0</v>
      </c>
      <c r="Q492" s="91">
        <v>0</v>
      </c>
      <c r="R492" s="91">
        <v>0</v>
      </c>
      <c r="S492" s="91">
        <v>0</v>
      </c>
      <c r="T492" s="91">
        <v>0</v>
      </c>
      <c r="U492" s="91">
        <v>0</v>
      </c>
      <c r="V492" s="202">
        <v>0</v>
      </c>
      <c r="W492" s="91">
        <v>0</v>
      </c>
      <c r="X492" s="91">
        <v>0</v>
      </c>
      <c r="Y492" s="91">
        <v>0</v>
      </c>
      <c r="Z492" s="91">
        <v>0</v>
      </c>
      <c r="AA492" s="91">
        <v>0</v>
      </c>
      <c r="AB492" s="91">
        <v>0</v>
      </c>
      <c r="AC492" s="91">
        <v>0</v>
      </c>
      <c r="AD492" s="91">
        <v>0</v>
      </c>
      <c r="AE492" s="91">
        <v>0</v>
      </c>
      <c r="AF492" s="91">
        <v>0</v>
      </c>
      <c r="AG492" s="91">
        <v>0</v>
      </c>
      <c r="AH492" s="84">
        <v>1</v>
      </c>
      <c r="AI492" s="97">
        <f t="shared" si="7"/>
        <v>0</v>
      </c>
    </row>
    <row r="493" spans="1:35">
      <c r="A493" s="55" t="s">
        <v>658</v>
      </c>
      <c r="B493" s="91">
        <v>0</v>
      </c>
      <c r="C493" s="91">
        <v>0</v>
      </c>
      <c r="D493" s="91">
        <v>45</v>
      </c>
      <c r="E493" s="90">
        <v>48</v>
      </c>
      <c r="F493" s="91">
        <v>71924</v>
      </c>
      <c r="G493" s="91">
        <v>63734</v>
      </c>
      <c r="H493" s="91">
        <v>12518</v>
      </c>
      <c r="I493" s="91">
        <v>669.1099999999999</v>
      </c>
      <c r="J493" s="91">
        <v>-4328</v>
      </c>
      <c r="K493" s="91">
        <v>79373</v>
      </c>
      <c r="L493" s="91">
        <v>65116</v>
      </c>
      <c r="M493" s="91">
        <v>61111</v>
      </c>
      <c r="N493" s="91">
        <v>85363</v>
      </c>
      <c r="O493" s="91">
        <v>10759</v>
      </c>
      <c r="P493" s="91">
        <v>2175</v>
      </c>
      <c r="Q493" s="91">
        <v>0</v>
      </c>
      <c r="R493" s="91">
        <v>0</v>
      </c>
      <c r="S493" s="91">
        <v>-4744</v>
      </c>
      <c r="T493" s="91">
        <v>0</v>
      </c>
      <c r="U493" s="91">
        <v>0</v>
      </c>
      <c r="V493" s="202">
        <v>0</v>
      </c>
      <c r="W493" s="91">
        <v>-416</v>
      </c>
      <c r="X493" s="91">
        <v>0</v>
      </c>
      <c r="Y493" s="91">
        <v>4328</v>
      </c>
      <c r="Z493" s="91">
        <v>0</v>
      </c>
      <c r="AA493" s="91">
        <v>0</v>
      </c>
      <c r="AB493" s="91">
        <v>-416</v>
      </c>
      <c r="AC493" s="91">
        <v>-416</v>
      </c>
      <c r="AD493" s="91">
        <v>-416</v>
      </c>
      <c r="AE493" s="91">
        <v>-416</v>
      </c>
      <c r="AF493" s="91">
        <v>-416</v>
      </c>
      <c r="AG493" s="91">
        <v>-2248</v>
      </c>
      <c r="AH493" s="84">
        <v>11.4</v>
      </c>
      <c r="AI493" s="97">
        <f t="shared" si="7"/>
        <v>8190</v>
      </c>
    </row>
    <row r="494" spans="1:35">
      <c r="A494" s="55" t="s">
        <v>659</v>
      </c>
      <c r="B494" s="91">
        <v>0</v>
      </c>
      <c r="C494" s="91">
        <v>0</v>
      </c>
      <c r="D494" s="91">
        <v>0</v>
      </c>
      <c r="E494" s="90">
        <v>0</v>
      </c>
      <c r="F494" s="91">
        <v>0</v>
      </c>
      <c r="G494" s="91">
        <v>0</v>
      </c>
      <c r="H494" s="91">
        <v>0</v>
      </c>
      <c r="I494" s="91">
        <v>0</v>
      </c>
      <c r="J494" s="91">
        <v>0</v>
      </c>
      <c r="K494" s="91">
        <v>0</v>
      </c>
      <c r="L494" s="91">
        <v>0</v>
      </c>
      <c r="M494" s="91">
        <v>0</v>
      </c>
      <c r="N494" s="91">
        <v>0</v>
      </c>
      <c r="O494" s="91">
        <v>0</v>
      </c>
      <c r="P494" s="91">
        <v>0</v>
      </c>
      <c r="Q494" s="91">
        <v>0</v>
      </c>
      <c r="R494" s="91">
        <v>0</v>
      </c>
      <c r="S494" s="91">
        <v>0</v>
      </c>
      <c r="T494" s="91">
        <v>0</v>
      </c>
      <c r="U494" s="91">
        <v>0</v>
      </c>
      <c r="V494" s="202">
        <v>0</v>
      </c>
      <c r="W494" s="91">
        <v>0</v>
      </c>
      <c r="X494" s="91">
        <v>0</v>
      </c>
      <c r="Y494" s="91">
        <v>0</v>
      </c>
      <c r="Z494" s="91">
        <v>0</v>
      </c>
      <c r="AA494" s="91">
        <v>0</v>
      </c>
      <c r="AB494" s="91">
        <v>0</v>
      </c>
      <c r="AC494" s="91">
        <v>0</v>
      </c>
      <c r="AD494" s="91">
        <v>0</v>
      </c>
      <c r="AE494" s="91">
        <v>0</v>
      </c>
      <c r="AF494" s="91">
        <v>0</v>
      </c>
      <c r="AG494" s="91">
        <v>0</v>
      </c>
      <c r="AH494" s="84">
        <v>1</v>
      </c>
      <c r="AI494" s="97">
        <f t="shared" si="7"/>
        <v>0</v>
      </c>
    </row>
    <row r="495" spans="1:35">
      <c r="A495" s="55" t="s">
        <v>660</v>
      </c>
      <c r="B495" s="91">
        <v>0</v>
      </c>
      <c r="C495" s="91">
        <v>0</v>
      </c>
      <c r="D495" s="91">
        <v>6</v>
      </c>
      <c r="E495" s="90">
        <v>8</v>
      </c>
      <c r="F495" s="91">
        <v>29797</v>
      </c>
      <c r="G495" s="91">
        <v>28199</v>
      </c>
      <c r="H495" s="91">
        <v>2173</v>
      </c>
      <c r="I495" s="91">
        <v>323.43000000000006</v>
      </c>
      <c r="J495" s="91">
        <v>-575</v>
      </c>
      <c r="K495" s="91">
        <v>30861</v>
      </c>
      <c r="L495" s="91">
        <v>28657</v>
      </c>
      <c r="M495" s="91">
        <v>27752</v>
      </c>
      <c r="N495" s="91">
        <v>32013</v>
      </c>
      <c r="O495" s="91">
        <v>1425</v>
      </c>
      <c r="P495" s="91">
        <v>865</v>
      </c>
      <c r="Q495" s="91">
        <v>0</v>
      </c>
      <c r="R495" s="91">
        <v>0</v>
      </c>
      <c r="S495" s="91">
        <v>-692</v>
      </c>
      <c r="T495" s="91">
        <v>0</v>
      </c>
      <c r="U495" s="91">
        <v>0</v>
      </c>
      <c r="V495" s="202">
        <v>0</v>
      </c>
      <c r="W495" s="91">
        <v>-117</v>
      </c>
      <c r="X495" s="91">
        <v>0</v>
      </c>
      <c r="Y495" s="91">
        <v>575</v>
      </c>
      <c r="Z495" s="91">
        <v>0</v>
      </c>
      <c r="AA495" s="91">
        <v>0</v>
      </c>
      <c r="AB495" s="91">
        <v>-117</v>
      </c>
      <c r="AC495" s="91">
        <v>-117</v>
      </c>
      <c r="AD495" s="91">
        <v>-117</v>
      </c>
      <c r="AE495" s="91">
        <v>-117</v>
      </c>
      <c r="AF495" s="91">
        <v>-107</v>
      </c>
      <c r="AG495" s="91">
        <v>0</v>
      </c>
      <c r="AH495" s="84">
        <v>5.9</v>
      </c>
      <c r="AI495" s="97">
        <f t="shared" si="7"/>
        <v>1598</v>
      </c>
    </row>
    <row r="496" spans="1:35">
      <c r="A496" s="55" t="s">
        <v>661</v>
      </c>
      <c r="B496" s="91">
        <v>0</v>
      </c>
      <c r="C496" s="91">
        <v>0</v>
      </c>
      <c r="D496" s="91">
        <v>7</v>
      </c>
      <c r="E496" s="90">
        <v>7</v>
      </c>
      <c r="F496" s="91">
        <v>16870</v>
      </c>
      <c r="G496" s="91">
        <v>16383</v>
      </c>
      <c r="H496" s="91">
        <v>1769</v>
      </c>
      <c r="I496" s="91">
        <v>337.86</v>
      </c>
      <c r="J496" s="91">
        <v>-1282</v>
      </c>
      <c r="K496" s="91">
        <v>19137</v>
      </c>
      <c r="L496" s="91">
        <v>14805</v>
      </c>
      <c r="M496" s="91">
        <v>13940</v>
      </c>
      <c r="N496" s="91">
        <v>20588</v>
      </c>
      <c r="O496" s="91">
        <v>1381</v>
      </c>
      <c r="P496" s="91">
        <v>519</v>
      </c>
      <c r="Q496" s="91">
        <v>0</v>
      </c>
      <c r="R496" s="91">
        <v>0</v>
      </c>
      <c r="S496" s="91">
        <v>-1413</v>
      </c>
      <c r="T496" s="91">
        <v>0</v>
      </c>
      <c r="U496" s="91">
        <v>0</v>
      </c>
      <c r="V496" s="202">
        <v>0</v>
      </c>
      <c r="W496" s="91">
        <v>-131</v>
      </c>
      <c r="X496" s="91">
        <v>0</v>
      </c>
      <c r="Y496" s="91">
        <v>1282</v>
      </c>
      <c r="Z496" s="91">
        <v>0</v>
      </c>
      <c r="AA496" s="91">
        <v>0</v>
      </c>
      <c r="AB496" s="91">
        <v>-131</v>
      </c>
      <c r="AC496" s="91">
        <v>-131</v>
      </c>
      <c r="AD496" s="91">
        <v>-131</v>
      </c>
      <c r="AE496" s="91">
        <v>-131</v>
      </c>
      <c r="AF496" s="91">
        <v>-131</v>
      </c>
      <c r="AG496" s="91">
        <v>-627</v>
      </c>
      <c r="AH496" s="84">
        <v>10.8</v>
      </c>
      <c r="AI496" s="97">
        <f t="shared" si="7"/>
        <v>487</v>
      </c>
    </row>
    <row r="497" spans="1:35">
      <c r="A497" s="55" t="s">
        <v>662</v>
      </c>
      <c r="B497" s="91">
        <v>0</v>
      </c>
      <c r="C497" s="91">
        <v>0</v>
      </c>
      <c r="D497" s="91">
        <v>36</v>
      </c>
      <c r="E497" s="90">
        <v>38</v>
      </c>
      <c r="F497" s="91">
        <v>108533</v>
      </c>
      <c r="G497" s="91">
        <v>99907</v>
      </c>
      <c r="H497" s="91">
        <v>12915</v>
      </c>
      <c r="I497" s="91">
        <v>286.33999999999946</v>
      </c>
      <c r="J497" s="91">
        <v>-4289</v>
      </c>
      <c r="K497" s="91">
        <v>116122</v>
      </c>
      <c r="L497" s="91">
        <v>101155</v>
      </c>
      <c r="M497" s="91">
        <v>96009</v>
      </c>
      <c r="N497" s="91">
        <v>123298</v>
      </c>
      <c r="O497" s="91">
        <v>10199</v>
      </c>
      <c r="P497" s="91">
        <v>3215</v>
      </c>
      <c r="Q497" s="91">
        <v>0</v>
      </c>
      <c r="R497" s="91">
        <v>0</v>
      </c>
      <c r="S497" s="91">
        <v>-4788</v>
      </c>
      <c r="T497" s="91">
        <v>0</v>
      </c>
      <c r="U497" s="91">
        <v>0</v>
      </c>
      <c r="V497" s="202">
        <v>0</v>
      </c>
      <c r="W497" s="91">
        <v>-499</v>
      </c>
      <c r="X497" s="91">
        <v>0</v>
      </c>
      <c r="Y497" s="91">
        <v>4289</v>
      </c>
      <c r="Z497" s="91">
        <v>0</v>
      </c>
      <c r="AA497" s="91">
        <v>0</v>
      </c>
      <c r="AB497" s="91">
        <v>-499</v>
      </c>
      <c r="AC497" s="91">
        <v>-499</v>
      </c>
      <c r="AD497" s="91">
        <v>-499</v>
      </c>
      <c r="AE497" s="91">
        <v>-499</v>
      </c>
      <c r="AF497" s="91">
        <v>-499</v>
      </c>
      <c r="AG497" s="91">
        <v>-1794</v>
      </c>
      <c r="AH497" s="84">
        <v>9.6</v>
      </c>
      <c r="AI497" s="97">
        <f t="shared" si="7"/>
        <v>8626</v>
      </c>
    </row>
    <row r="498" spans="1:35">
      <c r="A498" s="55" t="s">
        <v>663</v>
      </c>
      <c r="B498" s="91">
        <v>1</v>
      </c>
      <c r="C498" s="91">
        <v>0</v>
      </c>
      <c r="D498" s="91">
        <v>10</v>
      </c>
      <c r="E498" s="90">
        <v>10</v>
      </c>
      <c r="F498" s="91">
        <v>44348</v>
      </c>
      <c r="G498" s="91">
        <v>51171</v>
      </c>
      <c r="H498" s="91">
        <v>4902</v>
      </c>
      <c r="I498" s="91">
        <v>10800.18</v>
      </c>
      <c r="J498" s="91">
        <v>-1305</v>
      </c>
      <c r="K498" s="91">
        <v>46704</v>
      </c>
      <c r="L498" s="91">
        <v>42134</v>
      </c>
      <c r="M498" s="91">
        <v>40631</v>
      </c>
      <c r="N498" s="91">
        <v>48627</v>
      </c>
      <c r="O498" s="91">
        <v>3611</v>
      </c>
      <c r="P498" s="91">
        <v>1448</v>
      </c>
      <c r="Q498" s="91">
        <v>0</v>
      </c>
      <c r="R498" s="91">
        <v>0</v>
      </c>
      <c r="S498" s="91">
        <v>-1462</v>
      </c>
      <c r="T498" s="91">
        <v>10420</v>
      </c>
      <c r="U498" s="91">
        <v>0</v>
      </c>
      <c r="V498" s="202">
        <v>0</v>
      </c>
      <c r="W498" s="91">
        <v>-157</v>
      </c>
      <c r="X498" s="91">
        <v>0</v>
      </c>
      <c r="Y498" s="91">
        <v>1305</v>
      </c>
      <c r="Z498" s="91">
        <v>0</v>
      </c>
      <c r="AA498" s="91">
        <v>0</v>
      </c>
      <c r="AB498" s="91">
        <v>-157</v>
      </c>
      <c r="AC498" s="91">
        <v>-157</v>
      </c>
      <c r="AD498" s="91">
        <v>-157</v>
      </c>
      <c r="AE498" s="91">
        <v>-157</v>
      </c>
      <c r="AF498" s="91">
        <v>-157</v>
      </c>
      <c r="AG498" s="91">
        <v>-520</v>
      </c>
      <c r="AH498" s="84">
        <v>9.3000000000000007</v>
      </c>
      <c r="AI498" s="97">
        <f t="shared" si="7"/>
        <v>-6823</v>
      </c>
    </row>
    <row r="499" spans="1:35">
      <c r="A499" s="55" t="s">
        <v>664</v>
      </c>
      <c r="B499" s="91">
        <v>0</v>
      </c>
      <c r="C499" s="91">
        <v>0</v>
      </c>
      <c r="D499" s="91">
        <v>1</v>
      </c>
      <c r="E499" s="90">
        <v>1</v>
      </c>
      <c r="F499" s="91">
        <v>0</v>
      </c>
      <c r="G499" s="91">
        <v>0</v>
      </c>
      <c r="H499" s="91">
        <v>0</v>
      </c>
      <c r="I499" s="91">
        <v>0</v>
      </c>
      <c r="J499" s="91">
        <v>0</v>
      </c>
      <c r="K499" s="91">
        <v>0</v>
      </c>
      <c r="L499" s="91">
        <v>0</v>
      </c>
      <c r="M499" s="91">
        <v>0</v>
      </c>
      <c r="N499" s="91">
        <v>0</v>
      </c>
      <c r="O499" s="91">
        <v>0</v>
      </c>
      <c r="P499" s="91">
        <v>0</v>
      </c>
      <c r="Q499" s="91">
        <v>0</v>
      </c>
      <c r="R499" s="91">
        <v>0</v>
      </c>
      <c r="S499" s="91">
        <v>0</v>
      </c>
      <c r="T499" s="91">
        <v>0</v>
      </c>
      <c r="U499" s="91">
        <v>0</v>
      </c>
      <c r="V499" s="202">
        <v>0</v>
      </c>
      <c r="W499" s="91">
        <v>0</v>
      </c>
      <c r="X499" s="91">
        <v>0</v>
      </c>
      <c r="Y499" s="91">
        <v>0</v>
      </c>
      <c r="Z499" s="91">
        <v>0</v>
      </c>
      <c r="AA499" s="91">
        <v>0</v>
      </c>
      <c r="AB499" s="91">
        <v>0</v>
      </c>
      <c r="AC499" s="91">
        <v>0</v>
      </c>
      <c r="AD499" s="91">
        <v>0</v>
      </c>
      <c r="AE499" s="91">
        <v>0</v>
      </c>
      <c r="AF499" s="91">
        <v>0</v>
      </c>
      <c r="AG499" s="91">
        <v>0</v>
      </c>
      <c r="AH499" s="84">
        <v>9.8000000000000007</v>
      </c>
      <c r="AI499" s="97">
        <f t="shared" si="7"/>
        <v>0</v>
      </c>
    </row>
    <row r="500" spans="1:35">
      <c r="A500" s="55" t="s">
        <v>665</v>
      </c>
      <c r="B500" s="91">
        <v>0</v>
      </c>
      <c r="C500" s="91">
        <v>0</v>
      </c>
      <c r="D500" s="91">
        <v>0</v>
      </c>
      <c r="E500" s="90">
        <v>0</v>
      </c>
      <c r="F500" s="91">
        <v>0</v>
      </c>
      <c r="G500" s="91">
        <v>0</v>
      </c>
      <c r="H500" s="91">
        <v>0</v>
      </c>
      <c r="I500" s="91">
        <v>0</v>
      </c>
      <c r="J500" s="91">
        <v>0</v>
      </c>
      <c r="K500" s="91">
        <v>0</v>
      </c>
      <c r="L500" s="91">
        <v>0</v>
      </c>
      <c r="M500" s="91">
        <v>0</v>
      </c>
      <c r="N500" s="91">
        <v>0</v>
      </c>
      <c r="O500" s="91">
        <v>0</v>
      </c>
      <c r="P500" s="91">
        <v>0</v>
      </c>
      <c r="Q500" s="91">
        <v>0</v>
      </c>
      <c r="R500" s="91">
        <v>0</v>
      </c>
      <c r="S500" s="91">
        <v>0</v>
      </c>
      <c r="T500" s="91">
        <v>0</v>
      </c>
      <c r="U500" s="91">
        <v>0</v>
      </c>
      <c r="V500" s="202">
        <v>0</v>
      </c>
      <c r="W500" s="91">
        <v>0</v>
      </c>
      <c r="X500" s="91">
        <v>0</v>
      </c>
      <c r="Y500" s="91">
        <v>0</v>
      </c>
      <c r="Z500" s="91">
        <v>0</v>
      </c>
      <c r="AA500" s="91">
        <v>0</v>
      </c>
      <c r="AB500" s="91">
        <v>0</v>
      </c>
      <c r="AC500" s="91">
        <v>0</v>
      </c>
      <c r="AD500" s="91">
        <v>0</v>
      </c>
      <c r="AE500" s="91">
        <v>0</v>
      </c>
      <c r="AF500" s="91">
        <v>0</v>
      </c>
      <c r="AG500" s="91">
        <v>0</v>
      </c>
      <c r="AH500" s="84">
        <v>1</v>
      </c>
      <c r="AI500" s="97">
        <f t="shared" si="7"/>
        <v>0</v>
      </c>
    </row>
    <row r="501" spans="1:35">
      <c r="A501" s="55" t="s">
        <v>666</v>
      </c>
      <c r="B501" s="91">
        <v>0</v>
      </c>
      <c r="C501" s="91">
        <v>0</v>
      </c>
      <c r="D501" s="91">
        <v>8</v>
      </c>
      <c r="E501" s="90">
        <v>8</v>
      </c>
      <c r="F501" s="91">
        <v>18419</v>
      </c>
      <c r="G501" s="91">
        <v>16904</v>
      </c>
      <c r="H501" s="91">
        <v>2363</v>
      </c>
      <c r="I501" s="91">
        <v>0</v>
      </c>
      <c r="J501" s="91">
        <v>-848</v>
      </c>
      <c r="K501" s="91">
        <v>19985</v>
      </c>
      <c r="L501" s="91">
        <v>16934</v>
      </c>
      <c r="M501" s="91">
        <v>16054</v>
      </c>
      <c r="N501" s="91">
        <v>21151</v>
      </c>
      <c r="O501" s="91">
        <v>1908</v>
      </c>
      <c r="P501" s="91">
        <v>549</v>
      </c>
      <c r="Q501" s="91">
        <v>0</v>
      </c>
      <c r="R501" s="91">
        <v>0</v>
      </c>
      <c r="S501" s="91">
        <v>-942</v>
      </c>
      <c r="T501" s="91">
        <v>0</v>
      </c>
      <c r="U501" s="91">
        <v>0</v>
      </c>
      <c r="V501" s="202">
        <v>0</v>
      </c>
      <c r="W501" s="91">
        <v>-94</v>
      </c>
      <c r="X501" s="91">
        <v>0</v>
      </c>
      <c r="Y501" s="91">
        <v>848</v>
      </c>
      <c r="Z501" s="91">
        <v>0</v>
      </c>
      <c r="AA501" s="91">
        <v>0</v>
      </c>
      <c r="AB501" s="91">
        <v>-94</v>
      </c>
      <c r="AC501" s="91">
        <v>-94</v>
      </c>
      <c r="AD501" s="91">
        <v>-94</v>
      </c>
      <c r="AE501" s="91">
        <v>-94</v>
      </c>
      <c r="AF501" s="91">
        <v>-94</v>
      </c>
      <c r="AG501" s="91">
        <v>-378</v>
      </c>
      <c r="AH501" s="84">
        <v>10</v>
      </c>
      <c r="AI501" s="97">
        <f t="shared" si="7"/>
        <v>1515</v>
      </c>
    </row>
    <row r="502" spans="1:35">
      <c r="A502" s="55" t="s">
        <v>667</v>
      </c>
      <c r="B502" s="91">
        <v>0</v>
      </c>
      <c r="C502" s="91">
        <v>0</v>
      </c>
      <c r="D502" s="91">
        <v>0</v>
      </c>
      <c r="E502" s="90">
        <v>0</v>
      </c>
      <c r="F502" s="91">
        <v>0</v>
      </c>
      <c r="G502" s="91">
        <v>0</v>
      </c>
      <c r="H502" s="91">
        <v>0</v>
      </c>
      <c r="I502" s="91">
        <v>0</v>
      </c>
      <c r="J502" s="91">
        <v>0</v>
      </c>
      <c r="K502" s="91">
        <v>0</v>
      </c>
      <c r="L502" s="91">
        <v>0</v>
      </c>
      <c r="M502" s="91">
        <v>0</v>
      </c>
      <c r="N502" s="91">
        <v>0</v>
      </c>
      <c r="O502" s="91">
        <v>0</v>
      </c>
      <c r="P502" s="91">
        <v>0</v>
      </c>
      <c r="Q502" s="91">
        <v>0</v>
      </c>
      <c r="R502" s="91">
        <v>0</v>
      </c>
      <c r="S502" s="91">
        <v>0</v>
      </c>
      <c r="T502" s="91">
        <v>0</v>
      </c>
      <c r="U502" s="91">
        <v>0</v>
      </c>
      <c r="V502" s="202">
        <v>0</v>
      </c>
      <c r="W502" s="91">
        <v>0</v>
      </c>
      <c r="X502" s="91">
        <v>0</v>
      </c>
      <c r="Y502" s="91">
        <v>0</v>
      </c>
      <c r="Z502" s="91">
        <v>0</v>
      </c>
      <c r="AA502" s="91">
        <v>0</v>
      </c>
      <c r="AB502" s="91">
        <v>0</v>
      </c>
      <c r="AC502" s="91">
        <v>0</v>
      </c>
      <c r="AD502" s="91">
        <v>0</v>
      </c>
      <c r="AE502" s="91">
        <v>0</v>
      </c>
      <c r="AF502" s="91">
        <v>0</v>
      </c>
      <c r="AG502" s="91">
        <v>0</v>
      </c>
      <c r="AH502" s="84">
        <v>1</v>
      </c>
      <c r="AI502" s="97">
        <f t="shared" si="7"/>
        <v>0</v>
      </c>
    </row>
    <row r="503" spans="1:35">
      <c r="A503" s="55" t="s">
        <v>668</v>
      </c>
      <c r="B503" s="91">
        <v>0</v>
      </c>
      <c r="C503" s="91">
        <v>0</v>
      </c>
      <c r="D503" s="91">
        <v>18</v>
      </c>
      <c r="E503" s="90">
        <v>18</v>
      </c>
      <c r="F503" s="91">
        <v>47692</v>
      </c>
      <c r="G503" s="91">
        <v>44625</v>
      </c>
      <c r="H503" s="91">
        <v>5198</v>
      </c>
      <c r="I503" s="91">
        <v>230.83999999999992</v>
      </c>
      <c r="J503" s="91">
        <v>-2131</v>
      </c>
      <c r="K503" s="91">
        <v>51401</v>
      </c>
      <c r="L503" s="91">
        <v>44195</v>
      </c>
      <c r="M503" s="91">
        <v>41787</v>
      </c>
      <c r="N503" s="91">
        <v>54751</v>
      </c>
      <c r="O503" s="91">
        <v>4015</v>
      </c>
      <c r="P503" s="91">
        <v>1420</v>
      </c>
      <c r="Q503" s="91">
        <v>0</v>
      </c>
      <c r="R503" s="91">
        <v>0</v>
      </c>
      <c r="S503" s="91">
        <v>-2368</v>
      </c>
      <c r="T503" s="91">
        <v>0</v>
      </c>
      <c r="U503" s="91">
        <v>0</v>
      </c>
      <c r="V503" s="202">
        <v>0</v>
      </c>
      <c r="W503" s="91">
        <v>-237</v>
      </c>
      <c r="X503" s="91">
        <v>0</v>
      </c>
      <c r="Y503" s="91">
        <v>2131</v>
      </c>
      <c r="Z503" s="91">
        <v>0</v>
      </c>
      <c r="AA503" s="91">
        <v>0</v>
      </c>
      <c r="AB503" s="91">
        <v>-237</v>
      </c>
      <c r="AC503" s="91">
        <v>-237</v>
      </c>
      <c r="AD503" s="91">
        <v>-237</v>
      </c>
      <c r="AE503" s="91">
        <v>-237</v>
      </c>
      <c r="AF503" s="91">
        <v>-237</v>
      </c>
      <c r="AG503" s="91">
        <v>-946</v>
      </c>
      <c r="AH503" s="84">
        <v>10</v>
      </c>
      <c r="AI503" s="97">
        <f t="shared" si="7"/>
        <v>3067</v>
      </c>
    </row>
    <row r="504" spans="1:35">
      <c r="A504" s="55" t="s">
        <v>669</v>
      </c>
      <c r="B504" s="91">
        <v>0</v>
      </c>
      <c r="C504" s="91">
        <v>0</v>
      </c>
      <c r="D504" s="91">
        <v>12</v>
      </c>
      <c r="E504" s="90">
        <v>14</v>
      </c>
      <c r="F504" s="91">
        <v>45386</v>
      </c>
      <c r="G504" s="91">
        <v>43447</v>
      </c>
      <c r="H504" s="91">
        <v>4611</v>
      </c>
      <c r="I504" s="91">
        <v>436.72</v>
      </c>
      <c r="J504" s="91">
        <v>-2672</v>
      </c>
      <c r="K504" s="91">
        <v>50004</v>
      </c>
      <c r="L504" s="91">
        <v>41145</v>
      </c>
      <c r="M504" s="91">
        <v>38938</v>
      </c>
      <c r="N504" s="91">
        <v>53398</v>
      </c>
      <c r="O504" s="91">
        <v>3516</v>
      </c>
      <c r="P504" s="91">
        <v>1371</v>
      </c>
      <c r="Q504" s="91">
        <v>0</v>
      </c>
      <c r="R504" s="91">
        <v>0</v>
      </c>
      <c r="S504" s="91">
        <v>-2948</v>
      </c>
      <c r="T504" s="91">
        <v>0</v>
      </c>
      <c r="U504" s="91">
        <v>0</v>
      </c>
      <c r="V504" s="202">
        <v>0</v>
      </c>
      <c r="W504" s="91">
        <v>-276</v>
      </c>
      <c r="X504" s="91">
        <v>0</v>
      </c>
      <c r="Y504" s="91">
        <v>2672</v>
      </c>
      <c r="Z504" s="91">
        <v>0</v>
      </c>
      <c r="AA504" s="91">
        <v>0</v>
      </c>
      <c r="AB504" s="91">
        <v>-276</v>
      </c>
      <c r="AC504" s="91">
        <v>-276</v>
      </c>
      <c r="AD504" s="91">
        <v>-276</v>
      </c>
      <c r="AE504" s="91">
        <v>-276</v>
      </c>
      <c r="AF504" s="91">
        <v>-276</v>
      </c>
      <c r="AG504" s="91">
        <v>-1292</v>
      </c>
      <c r="AH504" s="84">
        <v>10.7</v>
      </c>
      <c r="AI504" s="97">
        <f t="shared" si="7"/>
        <v>1939</v>
      </c>
    </row>
    <row r="505" spans="1:35">
      <c r="A505" s="55" t="s">
        <v>670</v>
      </c>
      <c r="B505" s="91">
        <v>0</v>
      </c>
      <c r="C505" s="91">
        <v>0</v>
      </c>
      <c r="D505" s="91">
        <v>43</v>
      </c>
      <c r="E505" s="90">
        <v>47</v>
      </c>
      <c r="F505" s="91">
        <v>127768</v>
      </c>
      <c r="G505" s="91">
        <v>116315</v>
      </c>
      <c r="H505" s="91">
        <v>16007</v>
      </c>
      <c r="I505" s="91">
        <v>1007.5400000000004</v>
      </c>
      <c r="J505" s="91">
        <v>-4554</v>
      </c>
      <c r="K505" s="91">
        <v>135704</v>
      </c>
      <c r="L505" s="91">
        <v>119840</v>
      </c>
      <c r="M505" s="91">
        <v>113922</v>
      </c>
      <c r="N505" s="91">
        <v>144006</v>
      </c>
      <c r="O505" s="91">
        <v>12768</v>
      </c>
      <c r="P505" s="91">
        <v>3769</v>
      </c>
      <c r="Q505" s="91">
        <v>0</v>
      </c>
      <c r="R505" s="91">
        <v>0</v>
      </c>
      <c r="S505" s="91">
        <v>-5084</v>
      </c>
      <c r="T505" s="91">
        <v>0</v>
      </c>
      <c r="U505" s="91">
        <v>0</v>
      </c>
      <c r="V505" s="202">
        <v>0</v>
      </c>
      <c r="W505" s="91">
        <v>-530</v>
      </c>
      <c r="X505" s="91">
        <v>0</v>
      </c>
      <c r="Y505" s="91">
        <v>4554</v>
      </c>
      <c r="Z505" s="91">
        <v>0</v>
      </c>
      <c r="AA505" s="91">
        <v>0</v>
      </c>
      <c r="AB505" s="91">
        <v>-530</v>
      </c>
      <c r="AC505" s="91">
        <v>-530</v>
      </c>
      <c r="AD505" s="91">
        <v>-530</v>
      </c>
      <c r="AE505" s="91">
        <v>-530</v>
      </c>
      <c r="AF505" s="91">
        <v>-530</v>
      </c>
      <c r="AG505" s="91">
        <v>-1904</v>
      </c>
      <c r="AH505" s="84">
        <v>9.6</v>
      </c>
      <c r="AI505" s="97">
        <f t="shared" si="7"/>
        <v>11453</v>
      </c>
    </row>
    <row r="506" spans="1:35">
      <c r="A506" s="55" t="s">
        <v>671</v>
      </c>
      <c r="B506" s="91">
        <v>0</v>
      </c>
      <c r="C506" s="91">
        <v>0</v>
      </c>
      <c r="D506" s="91">
        <v>16</v>
      </c>
      <c r="E506" s="90">
        <v>18</v>
      </c>
      <c r="F506" s="91">
        <v>40995</v>
      </c>
      <c r="G506" s="91">
        <v>38359</v>
      </c>
      <c r="H506" s="91">
        <v>5051</v>
      </c>
      <c r="I506" s="91">
        <v>310.29000000000019</v>
      </c>
      <c r="J506" s="91">
        <v>-2415</v>
      </c>
      <c r="K506" s="91">
        <v>45235</v>
      </c>
      <c r="L506" s="91">
        <v>37017</v>
      </c>
      <c r="M506" s="91">
        <v>34859</v>
      </c>
      <c r="N506" s="91">
        <v>48513</v>
      </c>
      <c r="O506" s="91">
        <v>4050</v>
      </c>
      <c r="P506" s="91">
        <v>1238</v>
      </c>
      <c r="Q506" s="91">
        <v>0</v>
      </c>
      <c r="R506" s="91">
        <v>0</v>
      </c>
      <c r="S506" s="91">
        <v>-2652</v>
      </c>
      <c r="T506" s="91">
        <v>0</v>
      </c>
      <c r="U506" s="91">
        <v>0</v>
      </c>
      <c r="V506" s="202">
        <v>0</v>
      </c>
      <c r="W506" s="91">
        <v>-237</v>
      </c>
      <c r="X506" s="91">
        <v>0</v>
      </c>
      <c r="Y506" s="91">
        <v>2415</v>
      </c>
      <c r="Z506" s="91">
        <v>0</v>
      </c>
      <c r="AA506" s="91">
        <v>0</v>
      </c>
      <c r="AB506" s="91">
        <v>-237</v>
      </c>
      <c r="AC506" s="91">
        <v>-237</v>
      </c>
      <c r="AD506" s="91">
        <v>-237</v>
      </c>
      <c r="AE506" s="91">
        <v>-237</v>
      </c>
      <c r="AF506" s="91">
        <v>-237</v>
      </c>
      <c r="AG506" s="91">
        <v>-1230</v>
      </c>
      <c r="AH506" s="84">
        <v>11.2</v>
      </c>
      <c r="AI506" s="97">
        <f t="shared" si="7"/>
        <v>2636</v>
      </c>
    </row>
    <row r="507" spans="1:35">
      <c r="A507" s="55" t="s">
        <v>672</v>
      </c>
      <c r="B507" s="91">
        <v>0</v>
      </c>
      <c r="C507" s="91">
        <v>0</v>
      </c>
      <c r="D507" s="91">
        <v>28</v>
      </c>
      <c r="E507" s="90">
        <v>32</v>
      </c>
      <c r="F507" s="91">
        <v>100896</v>
      </c>
      <c r="G507" s="91">
        <v>94066</v>
      </c>
      <c r="H507" s="91">
        <v>10598</v>
      </c>
      <c r="I507" s="91">
        <v>951.23</v>
      </c>
      <c r="J507" s="91">
        <v>-3768</v>
      </c>
      <c r="K507" s="91">
        <v>107603</v>
      </c>
      <c r="L507" s="91">
        <v>94360</v>
      </c>
      <c r="M507" s="91">
        <v>90041</v>
      </c>
      <c r="N507" s="91">
        <v>113579</v>
      </c>
      <c r="O507" s="91">
        <v>8130</v>
      </c>
      <c r="P507" s="91">
        <v>2984</v>
      </c>
      <c r="Q507" s="91">
        <v>0</v>
      </c>
      <c r="R507" s="91">
        <v>0</v>
      </c>
      <c r="S507" s="91">
        <v>-4284</v>
      </c>
      <c r="T507" s="91">
        <v>0</v>
      </c>
      <c r="U507" s="91">
        <v>0</v>
      </c>
      <c r="V507" s="202">
        <v>0</v>
      </c>
      <c r="W507" s="91">
        <v>-516</v>
      </c>
      <c r="X507" s="91">
        <v>0</v>
      </c>
      <c r="Y507" s="91">
        <v>3768</v>
      </c>
      <c r="Z507" s="91">
        <v>0</v>
      </c>
      <c r="AA507" s="91">
        <v>0</v>
      </c>
      <c r="AB507" s="91">
        <v>-516</v>
      </c>
      <c r="AC507" s="91">
        <v>-516</v>
      </c>
      <c r="AD507" s="91">
        <v>-516</v>
      </c>
      <c r="AE507" s="91">
        <v>-516</v>
      </c>
      <c r="AF507" s="91">
        <v>-516</v>
      </c>
      <c r="AG507" s="91">
        <v>-1188</v>
      </c>
      <c r="AH507" s="84">
        <v>8.3000000000000007</v>
      </c>
      <c r="AI507" s="97">
        <f t="shared" si="7"/>
        <v>6830</v>
      </c>
    </row>
    <row r="508" spans="1:35">
      <c r="A508" s="55" t="s">
        <v>673</v>
      </c>
      <c r="B508" s="91">
        <v>0</v>
      </c>
      <c r="C508" s="91">
        <v>0</v>
      </c>
      <c r="D508" s="91">
        <v>16</v>
      </c>
      <c r="E508" s="90">
        <v>16</v>
      </c>
      <c r="F508" s="91">
        <v>58479</v>
      </c>
      <c r="G508" s="91">
        <v>55701</v>
      </c>
      <c r="H508" s="91">
        <v>5702</v>
      </c>
      <c r="I508" s="91">
        <v>89.549999999999955</v>
      </c>
      <c r="J508" s="91">
        <v>-2924</v>
      </c>
      <c r="K508" s="91">
        <v>63521</v>
      </c>
      <c r="L508" s="91">
        <v>53637</v>
      </c>
      <c r="M508" s="91">
        <v>50891</v>
      </c>
      <c r="N508" s="91">
        <v>67447</v>
      </c>
      <c r="O508" s="91">
        <v>4290</v>
      </c>
      <c r="P508" s="91">
        <v>1752</v>
      </c>
      <c r="Q508" s="91">
        <v>0</v>
      </c>
      <c r="R508" s="91">
        <v>0</v>
      </c>
      <c r="S508" s="91">
        <v>-3264</v>
      </c>
      <c r="T508" s="91">
        <v>0</v>
      </c>
      <c r="U508" s="91">
        <v>0</v>
      </c>
      <c r="V508" s="202">
        <v>0</v>
      </c>
      <c r="W508" s="91">
        <v>-340</v>
      </c>
      <c r="X508" s="91">
        <v>0</v>
      </c>
      <c r="Y508" s="91">
        <v>2924</v>
      </c>
      <c r="Z508" s="91">
        <v>0</v>
      </c>
      <c r="AA508" s="91">
        <v>0</v>
      </c>
      <c r="AB508" s="91">
        <v>-340</v>
      </c>
      <c r="AC508" s="91">
        <v>-340</v>
      </c>
      <c r="AD508" s="91">
        <v>-340</v>
      </c>
      <c r="AE508" s="91">
        <v>-340</v>
      </c>
      <c r="AF508" s="91">
        <v>-340</v>
      </c>
      <c r="AG508" s="91">
        <v>-1224</v>
      </c>
      <c r="AH508" s="84">
        <v>9.6</v>
      </c>
      <c r="AI508" s="97">
        <f t="shared" si="7"/>
        <v>2778</v>
      </c>
    </row>
    <row r="509" spans="1:35">
      <c r="A509" s="55" t="s">
        <v>674</v>
      </c>
      <c r="B509" s="91">
        <v>0</v>
      </c>
      <c r="C509" s="91">
        <v>0</v>
      </c>
      <c r="D509" s="91">
        <v>0</v>
      </c>
      <c r="E509" s="90">
        <v>0</v>
      </c>
      <c r="F509" s="91">
        <v>0</v>
      </c>
      <c r="G509" s="91">
        <v>0</v>
      </c>
      <c r="H509" s="91">
        <v>0</v>
      </c>
      <c r="I509" s="91">
        <v>0</v>
      </c>
      <c r="J509" s="91">
        <v>0</v>
      </c>
      <c r="K509" s="91">
        <v>0</v>
      </c>
      <c r="L509" s="91">
        <v>0</v>
      </c>
      <c r="M509" s="91">
        <v>0</v>
      </c>
      <c r="N509" s="91">
        <v>0</v>
      </c>
      <c r="O509" s="91">
        <v>0</v>
      </c>
      <c r="P509" s="91">
        <v>0</v>
      </c>
      <c r="Q509" s="91">
        <v>0</v>
      </c>
      <c r="R509" s="91">
        <v>0</v>
      </c>
      <c r="S509" s="91">
        <v>0</v>
      </c>
      <c r="T509" s="91">
        <v>0</v>
      </c>
      <c r="U509" s="91">
        <v>0</v>
      </c>
      <c r="V509" s="202">
        <v>0</v>
      </c>
      <c r="W509" s="91">
        <v>0</v>
      </c>
      <c r="X509" s="91">
        <v>0</v>
      </c>
      <c r="Y509" s="91">
        <v>0</v>
      </c>
      <c r="Z509" s="91">
        <v>0</v>
      </c>
      <c r="AA509" s="91">
        <v>0</v>
      </c>
      <c r="AB509" s="91">
        <v>0</v>
      </c>
      <c r="AC509" s="91">
        <v>0</v>
      </c>
      <c r="AD509" s="91">
        <v>0</v>
      </c>
      <c r="AE509" s="91">
        <v>0</v>
      </c>
      <c r="AF509" s="91">
        <v>0</v>
      </c>
      <c r="AG509" s="91">
        <v>0</v>
      </c>
      <c r="AH509" s="84">
        <v>1</v>
      </c>
      <c r="AI509" s="97">
        <f t="shared" si="7"/>
        <v>0</v>
      </c>
    </row>
    <row r="510" spans="1:35">
      <c r="A510" s="55" t="s">
        <v>675</v>
      </c>
      <c r="B510" s="91">
        <v>0</v>
      </c>
      <c r="C510" s="91">
        <v>0</v>
      </c>
      <c r="D510" s="91">
        <v>0</v>
      </c>
      <c r="E510" s="90">
        <v>0</v>
      </c>
      <c r="F510" s="91">
        <v>0</v>
      </c>
      <c r="G510" s="91">
        <v>0</v>
      </c>
      <c r="H510" s="91">
        <v>0</v>
      </c>
      <c r="I510" s="91">
        <v>0</v>
      </c>
      <c r="J510" s="91">
        <v>0</v>
      </c>
      <c r="K510" s="91">
        <v>0</v>
      </c>
      <c r="L510" s="91">
        <v>0</v>
      </c>
      <c r="M510" s="91">
        <v>0</v>
      </c>
      <c r="N510" s="91">
        <v>0</v>
      </c>
      <c r="O510" s="91">
        <v>0</v>
      </c>
      <c r="P510" s="91">
        <v>0</v>
      </c>
      <c r="Q510" s="91">
        <v>0</v>
      </c>
      <c r="R510" s="91">
        <v>0</v>
      </c>
      <c r="S510" s="91">
        <v>0</v>
      </c>
      <c r="T510" s="91">
        <v>0</v>
      </c>
      <c r="U510" s="91">
        <v>0</v>
      </c>
      <c r="V510" s="202">
        <v>0</v>
      </c>
      <c r="W510" s="91">
        <v>0</v>
      </c>
      <c r="X510" s="91">
        <v>0</v>
      </c>
      <c r="Y510" s="91">
        <v>0</v>
      </c>
      <c r="Z510" s="91">
        <v>0</v>
      </c>
      <c r="AA510" s="91">
        <v>0</v>
      </c>
      <c r="AB510" s="91">
        <v>0</v>
      </c>
      <c r="AC510" s="91">
        <v>0</v>
      </c>
      <c r="AD510" s="91">
        <v>0</v>
      </c>
      <c r="AE510" s="91">
        <v>0</v>
      </c>
      <c r="AF510" s="91">
        <v>0</v>
      </c>
      <c r="AG510" s="91">
        <v>0</v>
      </c>
      <c r="AH510" s="84">
        <v>1</v>
      </c>
      <c r="AI510" s="97">
        <f t="shared" si="7"/>
        <v>0</v>
      </c>
    </row>
    <row r="511" spans="1:35">
      <c r="A511" s="55" t="s">
        <v>676</v>
      </c>
      <c r="B511" s="91">
        <v>0</v>
      </c>
      <c r="C511" s="91">
        <v>0</v>
      </c>
      <c r="D511" s="91">
        <v>26</v>
      </c>
      <c r="E511" s="90">
        <v>30</v>
      </c>
      <c r="F511" s="91">
        <v>39102</v>
      </c>
      <c r="G511" s="91">
        <v>32427</v>
      </c>
      <c r="H511" s="91">
        <v>7992</v>
      </c>
      <c r="I511" s="91">
        <v>562.11999999999966</v>
      </c>
      <c r="J511" s="91">
        <v>-1317</v>
      </c>
      <c r="K511" s="91">
        <v>41308</v>
      </c>
      <c r="L511" s="91">
        <v>36961</v>
      </c>
      <c r="M511" s="91">
        <v>35334</v>
      </c>
      <c r="N511" s="91">
        <v>43425</v>
      </c>
      <c r="O511" s="91">
        <v>6991</v>
      </c>
      <c r="P511" s="91">
        <v>1151</v>
      </c>
      <c r="Q511" s="91">
        <v>0</v>
      </c>
      <c r="R511" s="91">
        <v>0</v>
      </c>
      <c r="S511" s="91">
        <v>-1467</v>
      </c>
      <c r="T511" s="91">
        <v>0</v>
      </c>
      <c r="U511" s="91">
        <v>0</v>
      </c>
      <c r="V511" s="202">
        <v>0</v>
      </c>
      <c r="W511" s="91">
        <v>-150</v>
      </c>
      <c r="X511" s="91">
        <v>0</v>
      </c>
      <c r="Y511" s="91">
        <v>1317</v>
      </c>
      <c r="Z511" s="91">
        <v>0</v>
      </c>
      <c r="AA511" s="91">
        <v>0</v>
      </c>
      <c r="AB511" s="91">
        <v>-150</v>
      </c>
      <c r="AC511" s="91">
        <v>-150</v>
      </c>
      <c r="AD511" s="91">
        <v>-150</v>
      </c>
      <c r="AE511" s="91">
        <v>-150</v>
      </c>
      <c r="AF511" s="91">
        <v>-150</v>
      </c>
      <c r="AG511" s="91">
        <v>-567</v>
      </c>
      <c r="AH511" s="84">
        <v>9.8000000000000007</v>
      </c>
      <c r="AI511" s="97">
        <f t="shared" si="7"/>
        <v>6675</v>
      </c>
    </row>
    <row r="512" spans="1:35">
      <c r="A512" s="55" t="s">
        <v>677</v>
      </c>
      <c r="B512" s="91">
        <v>0</v>
      </c>
      <c r="C512" s="91">
        <v>0</v>
      </c>
      <c r="D512" s="91">
        <v>8</v>
      </c>
      <c r="E512" s="90">
        <v>8</v>
      </c>
      <c r="F512" s="91">
        <v>14895</v>
      </c>
      <c r="G512" s="91">
        <v>13105</v>
      </c>
      <c r="H512" s="91">
        <v>2434</v>
      </c>
      <c r="I512" s="91">
        <v>338.38000000000022</v>
      </c>
      <c r="J512" s="91">
        <v>-644</v>
      </c>
      <c r="K512" s="91">
        <v>16070</v>
      </c>
      <c r="L512" s="91">
        <v>13839</v>
      </c>
      <c r="M512" s="91">
        <v>13262</v>
      </c>
      <c r="N512" s="91">
        <v>16885</v>
      </c>
      <c r="O512" s="91">
        <v>2076</v>
      </c>
      <c r="P512" s="91">
        <v>443</v>
      </c>
      <c r="Q512" s="91">
        <v>0</v>
      </c>
      <c r="R512" s="91">
        <v>0</v>
      </c>
      <c r="S512" s="91">
        <v>-729</v>
      </c>
      <c r="T512" s="91">
        <v>0</v>
      </c>
      <c r="U512" s="91">
        <v>0</v>
      </c>
      <c r="V512" s="202">
        <v>0</v>
      </c>
      <c r="W512" s="91">
        <v>-85</v>
      </c>
      <c r="X512" s="91">
        <v>0</v>
      </c>
      <c r="Y512" s="91">
        <v>644</v>
      </c>
      <c r="Z512" s="91">
        <v>0</v>
      </c>
      <c r="AA512" s="91">
        <v>0</v>
      </c>
      <c r="AB512" s="91">
        <v>-85</v>
      </c>
      <c r="AC512" s="91">
        <v>-85</v>
      </c>
      <c r="AD512" s="91">
        <v>-85</v>
      </c>
      <c r="AE512" s="91">
        <v>-85</v>
      </c>
      <c r="AF512" s="91">
        <v>-85</v>
      </c>
      <c r="AG512" s="91">
        <v>-219</v>
      </c>
      <c r="AH512" s="84">
        <v>8.6</v>
      </c>
      <c r="AI512" s="97">
        <f t="shared" si="7"/>
        <v>1790</v>
      </c>
    </row>
    <row r="513" spans="1:35">
      <c r="A513" s="55" t="s">
        <v>678</v>
      </c>
      <c r="B513" s="91">
        <v>0</v>
      </c>
      <c r="C513" s="91">
        <v>0</v>
      </c>
      <c r="D513" s="91">
        <v>15</v>
      </c>
      <c r="E513" s="90">
        <v>18</v>
      </c>
      <c r="F513" s="91">
        <v>35342</v>
      </c>
      <c r="G513" s="91">
        <v>32703</v>
      </c>
      <c r="H513" s="91">
        <v>4250</v>
      </c>
      <c r="I513" s="91">
        <v>127.27000000000004</v>
      </c>
      <c r="J513" s="91">
        <v>-1611</v>
      </c>
      <c r="K513" s="91">
        <v>38149</v>
      </c>
      <c r="L513" s="91">
        <v>32646</v>
      </c>
      <c r="M513" s="91">
        <v>31019</v>
      </c>
      <c r="N513" s="91">
        <v>40366</v>
      </c>
      <c r="O513" s="91">
        <v>3368</v>
      </c>
      <c r="P513" s="91">
        <v>1053</v>
      </c>
      <c r="Q513" s="91">
        <v>0</v>
      </c>
      <c r="R513" s="91">
        <v>0</v>
      </c>
      <c r="S513" s="91">
        <v>-1782</v>
      </c>
      <c r="T513" s="91">
        <v>0</v>
      </c>
      <c r="U513" s="91">
        <v>0</v>
      </c>
      <c r="V513" s="202">
        <v>0</v>
      </c>
      <c r="W513" s="91">
        <v>-171</v>
      </c>
      <c r="X513" s="91">
        <v>0</v>
      </c>
      <c r="Y513" s="91">
        <v>1611</v>
      </c>
      <c r="Z513" s="91">
        <v>0</v>
      </c>
      <c r="AA513" s="91">
        <v>0</v>
      </c>
      <c r="AB513" s="91">
        <v>-171</v>
      </c>
      <c r="AC513" s="91">
        <v>-171</v>
      </c>
      <c r="AD513" s="91">
        <v>-171</v>
      </c>
      <c r="AE513" s="91">
        <v>-171</v>
      </c>
      <c r="AF513" s="91">
        <v>-171</v>
      </c>
      <c r="AG513" s="91">
        <v>-756</v>
      </c>
      <c r="AH513" s="84">
        <v>10.4</v>
      </c>
      <c r="AI513" s="97">
        <f t="shared" si="7"/>
        <v>2639</v>
      </c>
    </row>
    <row r="514" spans="1:35">
      <c r="A514" s="55" t="s">
        <v>679</v>
      </c>
      <c r="B514" s="91">
        <v>0</v>
      </c>
      <c r="C514" s="91">
        <v>0</v>
      </c>
      <c r="D514" s="91">
        <v>3</v>
      </c>
      <c r="E514" s="90">
        <v>4</v>
      </c>
      <c r="F514" s="91">
        <v>4974</v>
      </c>
      <c r="G514" s="91">
        <v>4445</v>
      </c>
      <c r="H514" s="91">
        <v>580</v>
      </c>
      <c r="I514" s="91">
        <v>90.69</v>
      </c>
      <c r="J514" s="91">
        <v>-51</v>
      </c>
      <c r="K514" s="91">
        <v>5076</v>
      </c>
      <c r="L514" s="91">
        <v>4869</v>
      </c>
      <c r="M514" s="91">
        <v>4740</v>
      </c>
      <c r="N514" s="91">
        <v>5218</v>
      </c>
      <c r="O514" s="91">
        <v>454</v>
      </c>
      <c r="P514" s="91">
        <v>143</v>
      </c>
      <c r="Q514" s="91">
        <v>0</v>
      </c>
      <c r="R514" s="91">
        <v>0</v>
      </c>
      <c r="S514" s="91">
        <v>-68</v>
      </c>
      <c r="T514" s="91">
        <v>0</v>
      </c>
      <c r="U514" s="91">
        <v>0</v>
      </c>
      <c r="V514" s="202">
        <v>0</v>
      </c>
      <c r="W514" s="91">
        <v>-17</v>
      </c>
      <c r="X514" s="91">
        <v>0</v>
      </c>
      <c r="Y514" s="91">
        <v>51</v>
      </c>
      <c r="Z514" s="91">
        <v>0</v>
      </c>
      <c r="AA514" s="91">
        <v>0</v>
      </c>
      <c r="AB514" s="91">
        <v>-17</v>
      </c>
      <c r="AC514" s="91">
        <v>-17</v>
      </c>
      <c r="AD514" s="91">
        <v>-17</v>
      </c>
      <c r="AE514" s="91">
        <v>0</v>
      </c>
      <c r="AF514" s="91">
        <v>0</v>
      </c>
      <c r="AG514" s="91">
        <v>0</v>
      </c>
      <c r="AH514" s="84">
        <v>4.0999999999999996</v>
      </c>
      <c r="AI514" s="97">
        <f t="shared" si="7"/>
        <v>529</v>
      </c>
    </row>
    <row r="515" spans="1:35">
      <c r="A515" s="55" t="s">
        <v>680</v>
      </c>
      <c r="B515" s="91">
        <v>0</v>
      </c>
      <c r="C515" s="91">
        <v>0</v>
      </c>
      <c r="D515" s="91">
        <v>2</v>
      </c>
      <c r="E515" s="90">
        <v>3</v>
      </c>
      <c r="F515" s="91">
        <v>2629</v>
      </c>
      <c r="G515" s="91">
        <v>2105</v>
      </c>
      <c r="H515" s="91">
        <v>528</v>
      </c>
      <c r="I515" s="91">
        <v>212.73999999999995</v>
      </c>
      <c r="J515" s="91">
        <v>-4</v>
      </c>
      <c r="K515" s="91">
        <v>2633</v>
      </c>
      <c r="L515" s="91">
        <v>2623</v>
      </c>
      <c r="M515" s="91">
        <v>2541</v>
      </c>
      <c r="N515" s="91">
        <v>2722</v>
      </c>
      <c r="O515" s="91">
        <v>455</v>
      </c>
      <c r="P515" s="91">
        <v>75</v>
      </c>
      <c r="Q515" s="91">
        <v>0</v>
      </c>
      <c r="R515" s="91">
        <v>0</v>
      </c>
      <c r="S515" s="91">
        <v>-6</v>
      </c>
      <c r="T515" s="91">
        <v>0</v>
      </c>
      <c r="U515" s="91">
        <v>0</v>
      </c>
      <c r="V515" s="202">
        <v>0</v>
      </c>
      <c r="W515" s="91">
        <v>-2</v>
      </c>
      <c r="X515" s="91">
        <v>0</v>
      </c>
      <c r="Y515" s="91">
        <v>4</v>
      </c>
      <c r="Z515" s="91">
        <v>0</v>
      </c>
      <c r="AA515" s="91">
        <v>0</v>
      </c>
      <c r="AB515" s="91">
        <v>-2</v>
      </c>
      <c r="AC515" s="91">
        <v>-2</v>
      </c>
      <c r="AD515" s="91">
        <v>0</v>
      </c>
      <c r="AE515" s="91">
        <v>0</v>
      </c>
      <c r="AF515" s="91">
        <v>0</v>
      </c>
      <c r="AG515" s="91">
        <v>0</v>
      </c>
      <c r="AH515" s="84">
        <v>2.8</v>
      </c>
      <c r="AI515" s="97">
        <f t="shared" si="7"/>
        <v>524</v>
      </c>
    </row>
    <row r="516" spans="1:35">
      <c r="A516" s="55" t="s">
        <v>681</v>
      </c>
      <c r="B516" s="91">
        <v>0</v>
      </c>
      <c r="C516" s="91">
        <v>0</v>
      </c>
      <c r="D516" s="91">
        <v>9</v>
      </c>
      <c r="E516" s="90">
        <v>9</v>
      </c>
      <c r="F516" s="91">
        <v>27492</v>
      </c>
      <c r="G516" s="91">
        <v>26381</v>
      </c>
      <c r="H516" s="91">
        <v>2311</v>
      </c>
      <c r="I516" s="91">
        <v>112.28000000000009</v>
      </c>
      <c r="J516" s="91">
        <v>-1200</v>
      </c>
      <c r="K516" s="91">
        <v>29577</v>
      </c>
      <c r="L516" s="91">
        <v>25489</v>
      </c>
      <c r="M516" s="91">
        <v>24331</v>
      </c>
      <c r="N516" s="91">
        <v>31177</v>
      </c>
      <c r="O516" s="91">
        <v>1638</v>
      </c>
      <c r="P516" s="91">
        <v>818</v>
      </c>
      <c r="Q516" s="91">
        <v>0</v>
      </c>
      <c r="R516" s="91">
        <v>0</v>
      </c>
      <c r="S516" s="91">
        <v>-1345</v>
      </c>
      <c r="T516" s="91">
        <v>0</v>
      </c>
      <c r="U516" s="91">
        <v>0</v>
      </c>
      <c r="V516" s="202">
        <v>0</v>
      </c>
      <c r="W516" s="91">
        <v>-145</v>
      </c>
      <c r="X516" s="91">
        <v>0</v>
      </c>
      <c r="Y516" s="91">
        <v>1200</v>
      </c>
      <c r="Z516" s="91">
        <v>0</v>
      </c>
      <c r="AA516" s="91">
        <v>0</v>
      </c>
      <c r="AB516" s="91">
        <v>-145</v>
      </c>
      <c r="AC516" s="91">
        <v>-145</v>
      </c>
      <c r="AD516" s="91">
        <v>-145</v>
      </c>
      <c r="AE516" s="91">
        <v>-145</v>
      </c>
      <c r="AF516" s="91">
        <v>-145</v>
      </c>
      <c r="AG516" s="91">
        <v>-475</v>
      </c>
      <c r="AH516" s="84">
        <v>9.3000000000000007</v>
      </c>
      <c r="AI516" s="97">
        <f t="shared" si="7"/>
        <v>1111</v>
      </c>
    </row>
    <row r="517" spans="1:35">
      <c r="A517" s="55" t="s">
        <v>682</v>
      </c>
      <c r="B517" s="91">
        <v>0</v>
      </c>
      <c r="C517" s="91">
        <v>0</v>
      </c>
      <c r="D517" s="91">
        <v>0</v>
      </c>
      <c r="E517" s="90">
        <v>0</v>
      </c>
      <c r="F517" s="91">
        <v>0</v>
      </c>
      <c r="G517" s="91">
        <v>0</v>
      </c>
      <c r="H517" s="91">
        <v>0</v>
      </c>
      <c r="I517" s="91">
        <v>0</v>
      </c>
      <c r="J517" s="91">
        <v>0</v>
      </c>
      <c r="K517" s="91">
        <v>0</v>
      </c>
      <c r="L517" s="91">
        <v>0</v>
      </c>
      <c r="M517" s="91">
        <v>0</v>
      </c>
      <c r="N517" s="91">
        <v>0</v>
      </c>
      <c r="O517" s="91">
        <v>0</v>
      </c>
      <c r="P517" s="91">
        <v>0</v>
      </c>
      <c r="Q517" s="91">
        <v>0</v>
      </c>
      <c r="R517" s="91">
        <v>0</v>
      </c>
      <c r="S517" s="91">
        <v>0</v>
      </c>
      <c r="T517" s="91">
        <v>0</v>
      </c>
      <c r="U517" s="91">
        <v>0</v>
      </c>
      <c r="V517" s="202">
        <v>0</v>
      </c>
      <c r="W517" s="91">
        <v>0</v>
      </c>
      <c r="X517" s="91">
        <v>0</v>
      </c>
      <c r="Y517" s="91">
        <v>0</v>
      </c>
      <c r="Z517" s="91">
        <v>0</v>
      </c>
      <c r="AA517" s="91">
        <v>0</v>
      </c>
      <c r="AB517" s="91">
        <v>0</v>
      </c>
      <c r="AC517" s="91">
        <v>0</v>
      </c>
      <c r="AD517" s="91">
        <v>0</v>
      </c>
      <c r="AE517" s="91">
        <v>0</v>
      </c>
      <c r="AF517" s="91">
        <v>0</v>
      </c>
      <c r="AG517" s="91">
        <v>0</v>
      </c>
      <c r="AH517" s="84">
        <v>1</v>
      </c>
      <c r="AI517" s="97">
        <f t="shared" ref="AI517:AI580" si="8">O517+P517+Q517+R517+S517-T517</f>
        <v>0</v>
      </c>
    </row>
    <row r="518" spans="1:35">
      <c r="A518" s="55" t="s">
        <v>683</v>
      </c>
      <c r="B518" s="91">
        <v>0</v>
      </c>
      <c r="C518" s="91">
        <v>0</v>
      </c>
      <c r="D518" s="91">
        <v>0</v>
      </c>
      <c r="E518" s="90">
        <v>0</v>
      </c>
      <c r="F518" s="91">
        <v>0</v>
      </c>
      <c r="G518" s="91">
        <v>0</v>
      </c>
      <c r="H518" s="91">
        <v>0</v>
      </c>
      <c r="I518" s="91">
        <v>0</v>
      </c>
      <c r="J518" s="91">
        <v>0</v>
      </c>
      <c r="K518" s="91">
        <v>0</v>
      </c>
      <c r="L518" s="91">
        <v>0</v>
      </c>
      <c r="M518" s="91">
        <v>0</v>
      </c>
      <c r="N518" s="91">
        <v>0</v>
      </c>
      <c r="O518" s="91">
        <v>0</v>
      </c>
      <c r="P518" s="91">
        <v>0</v>
      </c>
      <c r="Q518" s="91">
        <v>0</v>
      </c>
      <c r="R518" s="91">
        <v>0</v>
      </c>
      <c r="S518" s="91">
        <v>0</v>
      </c>
      <c r="T518" s="91">
        <v>0</v>
      </c>
      <c r="U518" s="91">
        <v>0</v>
      </c>
      <c r="V518" s="202">
        <v>0</v>
      </c>
      <c r="W518" s="91">
        <v>0</v>
      </c>
      <c r="X518" s="91">
        <v>0</v>
      </c>
      <c r="Y518" s="91">
        <v>0</v>
      </c>
      <c r="Z518" s="91">
        <v>0</v>
      </c>
      <c r="AA518" s="91">
        <v>0</v>
      </c>
      <c r="AB518" s="91">
        <v>0</v>
      </c>
      <c r="AC518" s="91">
        <v>0</v>
      </c>
      <c r="AD518" s="91">
        <v>0</v>
      </c>
      <c r="AE518" s="91">
        <v>0</v>
      </c>
      <c r="AF518" s="91">
        <v>0</v>
      </c>
      <c r="AG518" s="91">
        <v>0</v>
      </c>
      <c r="AH518" s="84">
        <v>1</v>
      </c>
      <c r="AI518" s="97">
        <f t="shared" si="8"/>
        <v>0</v>
      </c>
    </row>
    <row r="519" spans="1:35">
      <c r="A519" s="55" t="s">
        <v>684</v>
      </c>
      <c r="B519" s="91">
        <v>0</v>
      </c>
      <c r="C519" s="91">
        <v>0</v>
      </c>
      <c r="D519" s="91">
        <v>0</v>
      </c>
      <c r="E519" s="90">
        <v>0</v>
      </c>
      <c r="F519" s="91">
        <v>0</v>
      </c>
      <c r="G519" s="91">
        <v>0</v>
      </c>
      <c r="H519" s="91">
        <v>0</v>
      </c>
      <c r="I519" s="91">
        <v>0</v>
      </c>
      <c r="J519" s="91">
        <v>0</v>
      </c>
      <c r="K519" s="91">
        <v>0</v>
      </c>
      <c r="L519" s="91">
        <v>0</v>
      </c>
      <c r="M519" s="91">
        <v>0</v>
      </c>
      <c r="N519" s="91">
        <v>0</v>
      </c>
      <c r="O519" s="91">
        <v>0</v>
      </c>
      <c r="P519" s="91">
        <v>0</v>
      </c>
      <c r="Q519" s="91">
        <v>0</v>
      </c>
      <c r="R519" s="91">
        <v>0</v>
      </c>
      <c r="S519" s="91">
        <v>0</v>
      </c>
      <c r="T519" s="91">
        <v>0</v>
      </c>
      <c r="U519" s="91">
        <v>0</v>
      </c>
      <c r="V519" s="202">
        <v>0</v>
      </c>
      <c r="W519" s="91">
        <v>0</v>
      </c>
      <c r="X519" s="91">
        <v>0</v>
      </c>
      <c r="Y519" s="91">
        <v>0</v>
      </c>
      <c r="Z519" s="91">
        <v>0</v>
      </c>
      <c r="AA519" s="91">
        <v>0</v>
      </c>
      <c r="AB519" s="91">
        <v>0</v>
      </c>
      <c r="AC519" s="91">
        <v>0</v>
      </c>
      <c r="AD519" s="91">
        <v>0</v>
      </c>
      <c r="AE519" s="91">
        <v>0</v>
      </c>
      <c r="AF519" s="91">
        <v>0</v>
      </c>
      <c r="AG519" s="91">
        <v>0</v>
      </c>
      <c r="AH519" s="84">
        <v>1</v>
      </c>
      <c r="AI519" s="97">
        <f t="shared" si="8"/>
        <v>0</v>
      </c>
    </row>
    <row r="520" spans="1:35">
      <c r="A520" s="55" t="s">
        <v>685</v>
      </c>
      <c r="B520" s="91">
        <v>0</v>
      </c>
      <c r="C520" s="91">
        <v>0</v>
      </c>
      <c r="D520" s="91">
        <v>13</v>
      </c>
      <c r="E520" s="90">
        <v>14</v>
      </c>
      <c r="F520" s="91">
        <v>14896</v>
      </c>
      <c r="G520" s="91">
        <v>12764</v>
      </c>
      <c r="H520" s="91">
        <v>2963</v>
      </c>
      <c r="I520" s="91">
        <v>373.82000000000005</v>
      </c>
      <c r="J520" s="91">
        <v>-831</v>
      </c>
      <c r="K520" s="91">
        <v>16389</v>
      </c>
      <c r="L520" s="91">
        <v>13500</v>
      </c>
      <c r="M520" s="91">
        <v>12781</v>
      </c>
      <c r="N520" s="91">
        <v>17453</v>
      </c>
      <c r="O520" s="91">
        <v>2617</v>
      </c>
      <c r="P520" s="91">
        <v>449</v>
      </c>
      <c r="Q520" s="91">
        <v>0</v>
      </c>
      <c r="R520" s="91">
        <v>0</v>
      </c>
      <c r="S520" s="91">
        <v>-934</v>
      </c>
      <c r="T520" s="91">
        <v>0</v>
      </c>
      <c r="U520" s="91">
        <v>0</v>
      </c>
      <c r="V520" s="202">
        <v>0</v>
      </c>
      <c r="W520" s="91">
        <v>-103</v>
      </c>
      <c r="X520" s="91">
        <v>0</v>
      </c>
      <c r="Y520" s="91">
        <v>831</v>
      </c>
      <c r="Z520" s="91">
        <v>0</v>
      </c>
      <c r="AA520" s="91">
        <v>0</v>
      </c>
      <c r="AB520" s="91">
        <v>-103</v>
      </c>
      <c r="AC520" s="91">
        <v>-103</v>
      </c>
      <c r="AD520" s="91">
        <v>-103</v>
      </c>
      <c r="AE520" s="91">
        <v>-103</v>
      </c>
      <c r="AF520" s="91">
        <v>-103</v>
      </c>
      <c r="AG520" s="91">
        <v>-316</v>
      </c>
      <c r="AH520" s="84">
        <v>9.1</v>
      </c>
      <c r="AI520" s="97">
        <f t="shared" si="8"/>
        <v>2132</v>
      </c>
    </row>
    <row r="521" spans="1:35">
      <c r="A521" s="55" t="s">
        <v>686</v>
      </c>
      <c r="B521" s="91">
        <v>0</v>
      </c>
      <c r="C521" s="91">
        <v>0</v>
      </c>
      <c r="D521" s="91">
        <v>0</v>
      </c>
      <c r="E521" s="90">
        <v>0</v>
      </c>
      <c r="F521" s="91">
        <v>0</v>
      </c>
      <c r="G521" s="91">
        <v>0</v>
      </c>
      <c r="H521" s="91">
        <v>0</v>
      </c>
      <c r="I521" s="91">
        <v>0</v>
      </c>
      <c r="J521" s="91">
        <v>0</v>
      </c>
      <c r="K521" s="91">
        <v>0</v>
      </c>
      <c r="L521" s="91">
        <v>0</v>
      </c>
      <c r="M521" s="91">
        <v>0</v>
      </c>
      <c r="N521" s="91">
        <v>0</v>
      </c>
      <c r="O521" s="91">
        <v>0</v>
      </c>
      <c r="P521" s="91">
        <v>0</v>
      </c>
      <c r="Q521" s="91">
        <v>0</v>
      </c>
      <c r="R521" s="91">
        <v>0</v>
      </c>
      <c r="S521" s="91">
        <v>0</v>
      </c>
      <c r="T521" s="91">
        <v>0</v>
      </c>
      <c r="U521" s="91">
        <v>0</v>
      </c>
      <c r="V521" s="202">
        <v>0</v>
      </c>
      <c r="W521" s="91">
        <v>0</v>
      </c>
      <c r="X521" s="91">
        <v>0</v>
      </c>
      <c r="Y521" s="91">
        <v>0</v>
      </c>
      <c r="Z521" s="91">
        <v>0</v>
      </c>
      <c r="AA521" s="91">
        <v>0</v>
      </c>
      <c r="AB521" s="91">
        <v>0</v>
      </c>
      <c r="AC521" s="91">
        <v>0</v>
      </c>
      <c r="AD521" s="91">
        <v>0</v>
      </c>
      <c r="AE521" s="91">
        <v>0</v>
      </c>
      <c r="AF521" s="91">
        <v>0</v>
      </c>
      <c r="AG521" s="91">
        <v>0</v>
      </c>
      <c r="AH521" s="84">
        <v>1</v>
      </c>
      <c r="AI521" s="97">
        <f t="shared" si="8"/>
        <v>0</v>
      </c>
    </row>
    <row r="522" spans="1:35">
      <c r="A522" s="55" t="s">
        <v>687</v>
      </c>
      <c r="B522" s="91">
        <v>0</v>
      </c>
      <c r="C522" s="91">
        <v>0</v>
      </c>
      <c r="D522" s="91">
        <v>0</v>
      </c>
      <c r="E522" s="90">
        <v>0</v>
      </c>
      <c r="F522" s="91">
        <v>0</v>
      </c>
      <c r="G522" s="91">
        <v>0</v>
      </c>
      <c r="H522" s="91">
        <v>0</v>
      </c>
      <c r="I522" s="91">
        <v>0</v>
      </c>
      <c r="J522" s="91">
        <v>0</v>
      </c>
      <c r="K522" s="91">
        <v>0</v>
      </c>
      <c r="L522" s="91">
        <v>0</v>
      </c>
      <c r="M522" s="91">
        <v>0</v>
      </c>
      <c r="N522" s="91">
        <v>0</v>
      </c>
      <c r="O522" s="91">
        <v>0</v>
      </c>
      <c r="P522" s="91">
        <v>0</v>
      </c>
      <c r="Q522" s="91">
        <v>0</v>
      </c>
      <c r="R522" s="91">
        <v>0</v>
      </c>
      <c r="S522" s="91">
        <v>0</v>
      </c>
      <c r="T522" s="91">
        <v>0</v>
      </c>
      <c r="U522" s="91">
        <v>0</v>
      </c>
      <c r="V522" s="202">
        <v>0</v>
      </c>
      <c r="W522" s="91">
        <v>0</v>
      </c>
      <c r="X522" s="91">
        <v>0</v>
      </c>
      <c r="Y522" s="91">
        <v>0</v>
      </c>
      <c r="Z522" s="91">
        <v>0</v>
      </c>
      <c r="AA522" s="91">
        <v>0</v>
      </c>
      <c r="AB522" s="91">
        <v>0</v>
      </c>
      <c r="AC522" s="91">
        <v>0</v>
      </c>
      <c r="AD522" s="91">
        <v>0</v>
      </c>
      <c r="AE522" s="91">
        <v>0</v>
      </c>
      <c r="AF522" s="91">
        <v>0</v>
      </c>
      <c r="AG522" s="91">
        <v>0</v>
      </c>
      <c r="AH522" s="84">
        <v>1</v>
      </c>
      <c r="AI522" s="97">
        <f t="shared" si="8"/>
        <v>0</v>
      </c>
    </row>
    <row r="523" spans="1:35">
      <c r="A523" s="55" t="s">
        <v>688</v>
      </c>
      <c r="B523" s="91">
        <v>0</v>
      </c>
      <c r="C523" s="91">
        <v>0</v>
      </c>
      <c r="D523" s="91">
        <v>63</v>
      </c>
      <c r="E523" s="90">
        <v>70</v>
      </c>
      <c r="F523" s="91">
        <v>193358</v>
      </c>
      <c r="G523" s="91">
        <v>183248</v>
      </c>
      <c r="H523" s="91">
        <v>20287</v>
      </c>
      <c r="I523" s="91">
        <v>1227.7699999999986</v>
      </c>
      <c r="J523" s="91">
        <v>-10177</v>
      </c>
      <c r="K523" s="91">
        <v>211204</v>
      </c>
      <c r="L523" s="91">
        <v>176425</v>
      </c>
      <c r="M523" s="91">
        <v>166740</v>
      </c>
      <c r="N523" s="91">
        <v>225463</v>
      </c>
      <c r="O523" s="91">
        <v>15565</v>
      </c>
      <c r="P523" s="91">
        <v>5805</v>
      </c>
      <c r="Q523" s="91">
        <v>0</v>
      </c>
      <c r="R523" s="91">
        <v>0</v>
      </c>
      <c r="S523" s="91">
        <v>-11260</v>
      </c>
      <c r="T523" s="91">
        <v>0</v>
      </c>
      <c r="U523" s="91">
        <v>0</v>
      </c>
      <c r="V523" s="202">
        <v>0</v>
      </c>
      <c r="W523" s="91">
        <v>-1083</v>
      </c>
      <c r="X523" s="91">
        <v>0</v>
      </c>
      <c r="Y523" s="91">
        <v>10177</v>
      </c>
      <c r="Z523" s="91">
        <v>0</v>
      </c>
      <c r="AA523" s="91">
        <v>0</v>
      </c>
      <c r="AB523" s="91">
        <v>-1083</v>
      </c>
      <c r="AC523" s="91">
        <v>-1083</v>
      </c>
      <c r="AD523" s="91">
        <v>-1083</v>
      </c>
      <c r="AE523" s="91">
        <v>-1083</v>
      </c>
      <c r="AF523" s="91">
        <v>-1083</v>
      </c>
      <c r="AG523" s="91">
        <v>-4762</v>
      </c>
      <c r="AH523" s="84">
        <v>10.4</v>
      </c>
      <c r="AI523" s="97">
        <f t="shared" si="8"/>
        <v>10110</v>
      </c>
    </row>
    <row r="524" spans="1:35">
      <c r="A524" s="55" t="s">
        <v>689</v>
      </c>
      <c r="B524" s="91">
        <v>0</v>
      </c>
      <c r="C524" s="91">
        <v>0</v>
      </c>
      <c r="D524" s="91">
        <v>0</v>
      </c>
      <c r="E524" s="90">
        <v>0</v>
      </c>
      <c r="F524" s="91">
        <v>0</v>
      </c>
      <c r="G524" s="91">
        <v>0</v>
      </c>
      <c r="H524" s="91">
        <v>0</v>
      </c>
      <c r="I524" s="91">
        <v>0</v>
      </c>
      <c r="J524" s="91">
        <v>0</v>
      </c>
      <c r="K524" s="91">
        <v>0</v>
      </c>
      <c r="L524" s="91">
        <v>0</v>
      </c>
      <c r="M524" s="91">
        <v>0</v>
      </c>
      <c r="N524" s="91">
        <v>0</v>
      </c>
      <c r="O524" s="91">
        <v>0</v>
      </c>
      <c r="P524" s="91">
        <v>0</v>
      </c>
      <c r="Q524" s="91">
        <v>0</v>
      </c>
      <c r="R524" s="91">
        <v>0</v>
      </c>
      <c r="S524" s="91">
        <v>0</v>
      </c>
      <c r="T524" s="91">
        <v>0</v>
      </c>
      <c r="U524" s="91">
        <v>0</v>
      </c>
      <c r="V524" s="202">
        <v>0</v>
      </c>
      <c r="W524" s="91">
        <v>0</v>
      </c>
      <c r="X524" s="91">
        <v>0</v>
      </c>
      <c r="Y524" s="91">
        <v>0</v>
      </c>
      <c r="Z524" s="91">
        <v>0</v>
      </c>
      <c r="AA524" s="91">
        <v>0</v>
      </c>
      <c r="AB524" s="91">
        <v>0</v>
      </c>
      <c r="AC524" s="91">
        <v>0</v>
      </c>
      <c r="AD524" s="91">
        <v>0</v>
      </c>
      <c r="AE524" s="91">
        <v>0</v>
      </c>
      <c r="AF524" s="91">
        <v>0</v>
      </c>
      <c r="AG524" s="91">
        <v>0</v>
      </c>
      <c r="AH524" s="84">
        <v>1</v>
      </c>
      <c r="AI524" s="97">
        <f t="shared" si="8"/>
        <v>0</v>
      </c>
    </row>
    <row r="525" spans="1:35">
      <c r="A525" s="55" t="s">
        <v>690</v>
      </c>
      <c r="B525" s="91">
        <v>0</v>
      </c>
      <c r="C525" s="91">
        <v>0</v>
      </c>
      <c r="D525" s="91">
        <v>2</v>
      </c>
      <c r="E525" s="90">
        <v>3</v>
      </c>
      <c r="F525" s="91">
        <v>4239</v>
      </c>
      <c r="G525" s="91">
        <v>3436</v>
      </c>
      <c r="H525" s="91">
        <v>926</v>
      </c>
      <c r="I525" s="91">
        <v>2.9199999999999982</v>
      </c>
      <c r="J525" s="91">
        <v>-123</v>
      </c>
      <c r="K525" s="91">
        <v>4446</v>
      </c>
      <c r="L525" s="91">
        <v>4044</v>
      </c>
      <c r="M525" s="91">
        <v>3899</v>
      </c>
      <c r="N525" s="91">
        <v>4621</v>
      </c>
      <c r="O525" s="91">
        <v>823</v>
      </c>
      <c r="P525" s="91">
        <v>124</v>
      </c>
      <c r="Q525" s="91">
        <v>0</v>
      </c>
      <c r="R525" s="91">
        <v>0</v>
      </c>
      <c r="S525" s="91">
        <v>-144</v>
      </c>
      <c r="T525" s="91">
        <v>0</v>
      </c>
      <c r="U525" s="91">
        <v>0</v>
      </c>
      <c r="V525" s="202">
        <v>0</v>
      </c>
      <c r="W525" s="91">
        <v>-21</v>
      </c>
      <c r="X525" s="91">
        <v>0</v>
      </c>
      <c r="Y525" s="91">
        <v>123</v>
      </c>
      <c r="Z525" s="91">
        <v>0</v>
      </c>
      <c r="AA525" s="91">
        <v>0</v>
      </c>
      <c r="AB525" s="91">
        <v>-21</v>
      </c>
      <c r="AC525" s="91">
        <v>-21</v>
      </c>
      <c r="AD525" s="91">
        <v>-21</v>
      </c>
      <c r="AE525" s="91">
        <v>-21</v>
      </c>
      <c r="AF525" s="91">
        <v>-21</v>
      </c>
      <c r="AG525" s="91">
        <v>-18</v>
      </c>
      <c r="AH525" s="84">
        <v>6.8</v>
      </c>
      <c r="AI525" s="97">
        <f t="shared" si="8"/>
        <v>803</v>
      </c>
    </row>
    <row r="526" spans="1:35">
      <c r="A526" s="55" t="s">
        <v>691</v>
      </c>
      <c r="B526" s="91">
        <v>0</v>
      </c>
      <c r="C526" s="91">
        <v>0</v>
      </c>
      <c r="D526" s="91">
        <v>4</v>
      </c>
      <c r="E526" s="90">
        <v>4</v>
      </c>
      <c r="F526" s="91">
        <v>5809</v>
      </c>
      <c r="G526" s="91">
        <v>5171</v>
      </c>
      <c r="H526" s="91">
        <v>811</v>
      </c>
      <c r="I526" s="91">
        <v>1.7299999999999969</v>
      </c>
      <c r="J526" s="91">
        <v>-173</v>
      </c>
      <c r="K526" s="91">
        <v>6122</v>
      </c>
      <c r="L526" s="91">
        <v>5496</v>
      </c>
      <c r="M526" s="91">
        <v>5248</v>
      </c>
      <c r="N526" s="91">
        <v>6424</v>
      </c>
      <c r="O526" s="91">
        <v>666</v>
      </c>
      <c r="P526" s="91">
        <v>170</v>
      </c>
      <c r="Q526" s="91">
        <v>0</v>
      </c>
      <c r="R526" s="91">
        <v>0</v>
      </c>
      <c r="S526" s="91">
        <v>-198</v>
      </c>
      <c r="T526" s="91">
        <v>0</v>
      </c>
      <c r="U526" s="91">
        <v>0</v>
      </c>
      <c r="V526" s="202">
        <v>0</v>
      </c>
      <c r="W526" s="91">
        <v>-25</v>
      </c>
      <c r="X526" s="91">
        <v>0</v>
      </c>
      <c r="Y526" s="91">
        <v>173</v>
      </c>
      <c r="Z526" s="91">
        <v>0</v>
      </c>
      <c r="AA526" s="91">
        <v>0</v>
      </c>
      <c r="AB526" s="91">
        <v>-25</v>
      </c>
      <c r="AC526" s="91">
        <v>-25</v>
      </c>
      <c r="AD526" s="91">
        <v>-25</v>
      </c>
      <c r="AE526" s="91">
        <v>-25</v>
      </c>
      <c r="AF526" s="91">
        <v>-25</v>
      </c>
      <c r="AG526" s="91">
        <v>-48</v>
      </c>
      <c r="AH526" s="84">
        <v>7.8</v>
      </c>
      <c r="AI526" s="97">
        <f t="shared" si="8"/>
        <v>638</v>
      </c>
    </row>
    <row r="527" spans="1:35">
      <c r="A527" s="55" t="s">
        <v>692</v>
      </c>
      <c r="B527" s="91">
        <v>0</v>
      </c>
      <c r="C527" s="91">
        <v>0</v>
      </c>
      <c r="D527" s="91">
        <v>20</v>
      </c>
      <c r="E527" s="90">
        <v>20</v>
      </c>
      <c r="F527" s="91">
        <v>46739</v>
      </c>
      <c r="G527" s="91">
        <v>42120</v>
      </c>
      <c r="H527" s="91">
        <v>7354</v>
      </c>
      <c r="I527" s="91">
        <v>210.73000000000013</v>
      </c>
      <c r="J527" s="91">
        <v>-2735</v>
      </c>
      <c r="K527" s="91">
        <v>51556</v>
      </c>
      <c r="L527" s="91">
        <v>42289</v>
      </c>
      <c r="M527" s="91">
        <v>39865</v>
      </c>
      <c r="N527" s="91">
        <v>55159</v>
      </c>
      <c r="O527" s="91">
        <v>6204</v>
      </c>
      <c r="P527" s="91">
        <v>1411</v>
      </c>
      <c r="Q527" s="91">
        <v>0</v>
      </c>
      <c r="R527" s="91">
        <v>0</v>
      </c>
      <c r="S527" s="91">
        <v>-2996</v>
      </c>
      <c r="T527" s="91">
        <v>0</v>
      </c>
      <c r="U527" s="91">
        <v>0</v>
      </c>
      <c r="V527" s="202">
        <v>0</v>
      </c>
      <c r="W527" s="91">
        <v>-261</v>
      </c>
      <c r="X527" s="91">
        <v>0</v>
      </c>
      <c r="Y527" s="91">
        <v>2735</v>
      </c>
      <c r="Z527" s="91">
        <v>0</v>
      </c>
      <c r="AA527" s="91">
        <v>0</v>
      </c>
      <c r="AB527" s="91">
        <v>-261</v>
      </c>
      <c r="AC527" s="91">
        <v>-261</v>
      </c>
      <c r="AD527" s="91">
        <v>-261</v>
      </c>
      <c r="AE527" s="91">
        <v>-261</v>
      </c>
      <c r="AF527" s="91">
        <v>-261</v>
      </c>
      <c r="AG527" s="91">
        <v>-1430</v>
      </c>
      <c r="AH527" s="84">
        <v>11.5</v>
      </c>
      <c r="AI527" s="97">
        <f t="shared" si="8"/>
        <v>4619</v>
      </c>
    </row>
    <row r="528" spans="1:35">
      <c r="A528" s="55" t="s">
        <v>693</v>
      </c>
      <c r="B528" s="91">
        <v>0</v>
      </c>
      <c r="C528" s="91">
        <v>0</v>
      </c>
      <c r="D528" s="91">
        <v>0</v>
      </c>
      <c r="E528" s="90">
        <v>0</v>
      </c>
      <c r="F528" s="91">
        <v>0</v>
      </c>
      <c r="G528" s="91">
        <v>0</v>
      </c>
      <c r="H528" s="91">
        <v>0</v>
      </c>
      <c r="I528" s="91">
        <v>0</v>
      </c>
      <c r="J528" s="91">
        <v>0</v>
      </c>
      <c r="K528" s="91">
        <v>0</v>
      </c>
      <c r="L528" s="91">
        <v>0</v>
      </c>
      <c r="M528" s="91">
        <v>0</v>
      </c>
      <c r="N528" s="91">
        <v>0</v>
      </c>
      <c r="O528" s="91">
        <v>0</v>
      </c>
      <c r="P528" s="91">
        <v>0</v>
      </c>
      <c r="Q528" s="91">
        <v>0</v>
      </c>
      <c r="R528" s="91">
        <v>0</v>
      </c>
      <c r="S528" s="91">
        <v>0</v>
      </c>
      <c r="T528" s="91">
        <v>0</v>
      </c>
      <c r="U528" s="91">
        <v>0</v>
      </c>
      <c r="V528" s="202">
        <v>0</v>
      </c>
      <c r="W528" s="91">
        <v>0</v>
      </c>
      <c r="X528" s="91">
        <v>0</v>
      </c>
      <c r="Y528" s="91">
        <v>0</v>
      </c>
      <c r="Z528" s="91">
        <v>0</v>
      </c>
      <c r="AA528" s="91">
        <v>0</v>
      </c>
      <c r="AB528" s="91">
        <v>0</v>
      </c>
      <c r="AC528" s="91">
        <v>0</v>
      </c>
      <c r="AD528" s="91">
        <v>0</v>
      </c>
      <c r="AE528" s="91">
        <v>0</v>
      </c>
      <c r="AF528" s="91">
        <v>0</v>
      </c>
      <c r="AG528" s="91">
        <v>0</v>
      </c>
      <c r="AH528" s="84">
        <v>1</v>
      </c>
      <c r="AI528" s="97">
        <f t="shared" si="8"/>
        <v>0</v>
      </c>
    </row>
    <row r="529" spans="1:35">
      <c r="A529" s="55" t="s">
        <v>694</v>
      </c>
      <c r="B529" s="91">
        <v>0</v>
      </c>
      <c r="C529" s="91">
        <v>0</v>
      </c>
      <c r="D529" s="91">
        <v>0</v>
      </c>
      <c r="E529" s="90">
        <v>0</v>
      </c>
      <c r="F529" s="91">
        <v>0</v>
      </c>
      <c r="G529" s="91">
        <v>0</v>
      </c>
      <c r="H529" s="91">
        <v>0</v>
      </c>
      <c r="I529" s="91">
        <v>0</v>
      </c>
      <c r="J529" s="91">
        <v>0</v>
      </c>
      <c r="K529" s="91">
        <v>0</v>
      </c>
      <c r="L529" s="91">
        <v>0</v>
      </c>
      <c r="M529" s="91">
        <v>0</v>
      </c>
      <c r="N529" s="91">
        <v>0</v>
      </c>
      <c r="O529" s="91">
        <v>0</v>
      </c>
      <c r="P529" s="91">
        <v>0</v>
      </c>
      <c r="Q529" s="91">
        <v>0</v>
      </c>
      <c r="R529" s="91">
        <v>0</v>
      </c>
      <c r="S529" s="91">
        <v>0</v>
      </c>
      <c r="T529" s="91">
        <v>0</v>
      </c>
      <c r="U529" s="91">
        <v>0</v>
      </c>
      <c r="V529" s="202">
        <v>0</v>
      </c>
      <c r="W529" s="91">
        <v>0</v>
      </c>
      <c r="X529" s="91">
        <v>0</v>
      </c>
      <c r="Y529" s="91">
        <v>0</v>
      </c>
      <c r="Z529" s="91">
        <v>0</v>
      </c>
      <c r="AA529" s="91">
        <v>0</v>
      </c>
      <c r="AB529" s="91">
        <v>0</v>
      </c>
      <c r="AC529" s="91">
        <v>0</v>
      </c>
      <c r="AD529" s="91">
        <v>0</v>
      </c>
      <c r="AE529" s="91">
        <v>0</v>
      </c>
      <c r="AF529" s="91">
        <v>0</v>
      </c>
      <c r="AG529" s="91">
        <v>0</v>
      </c>
      <c r="AH529" s="84">
        <v>1</v>
      </c>
      <c r="AI529" s="97">
        <f t="shared" si="8"/>
        <v>0</v>
      </c>
    </row>
    <row r="530" spans="1:35">
      <c r="A530" s="55" t="s">
        <v>695</v>
      </c>
      <c r="B530" s="91">
        <v>0</v>
      </c>
      <c r="C530" s="91">
        <v>0</v>
      </c>
      <c r="D530" s="91">
        <v>6</v>
      </c>
      <c r="E530" s="90">
        <v>10</v>
      </c>
      <c r="F530" s="91">
        <v>9986</v>
      </c>
      <c r="G530" s="91">
        <v>9220</v>
      </c>
      <c r="H530" s="91">
        <v>1522</v>
      </c>
      <c r="I530" s="91">
        <v>0</v>
      </c>
      <c r="J530" s="91">
        <v>-756</v>
      </c>
      <c r="K530" s="91">
        <v>11249</v>
      </c>
      <c r="L530" s="91">
        <v>8784</v>
      </c>
      <c r="M530" s="91">
        <v>8059</v>
      </c>
      <c r="N530" s="91">
        <v>12358</v>
      </c>
      <c r="O530" s="91">
        <v>1276</v>
      </c>
      <c r="P530" s="91">
        <v>306</v>
      </c>
      <c r="Q530" s="91">
        <v>0</v>
      </c>
      <c r="R530" s="91">
        <v>0</v>
      </c>
      <c r="S530" s="91">
        <v>-816</v>
      </c>
      <c r="T530" s="91">
        <v>0</v>
      </c>
      <c r="U530" s="91">
        <v>0</v>
      </c>
      <c r="V530" s="202">
        <v>0</v>
      </c>
      <c r="W530" s="91">
        <v>-60</v>
      </c>
      <c r="X530" s="91">
        <v>0</v>
      </c>
      <c r="Y530" s="91">
        <v>756</v>
      </c>
      <c r="Z530" s="91">
        <v>0</v>
      </c>
      <c r="AA530" s="91">
        <v>0</v>
      </c>
      <c r="AB530" s="91">
        <v>-60</v>
      </c>
      <c r="AC530" s="91">
        <v>-60</v>
      </c>
      <c r="AD530" s="91">
        <v>-60</v>
      </c>
      <c r="AE530" s="91">
        <v>-60</v>
      </c>
      <c r="AF530" s="91">
        <v>-60</v>
      </c>
      <c r="AG530" s="91">
        <v>-456</v>
      </c>
      <c r="AH530" s="84">
        <v>13.7</v>
      </c>
      <c r="AI530" s="97">
        <f t="shared" si="8"/>
        <v>766</v>
      </c>
    </row>
    <row r="531" spans="1:35">
      <c r="A531" s="55" t="s">
        <v>696</v>
      </c>
      <c r="B531" s="91">
        <v>0</v>
      </c>
      <c r="C531" s="91">
        <v>0</v>
      </c>
      <c r="D531" s="91">
        <v>7</v>
      </c>
      <c r="E531" s="90">
        <v>9</v>
      </c>
      <c r="F531" s="91">
        <v>22267</v>
      </c>
      <c r="G531" s="91">
        <v>20756</v>
      </c>
      <c r="H531" s="91">
        <v>2277</v>
      </c>
      <c r="I531" s="91">
        <v>40.640000000000043</v>
      </c>
      <c r="J531" s="91">
        <v>-766</v>
      </c>
      <c r="K531" s="91">
        <v>23595</v>
      </c>
      <c r="L531" s="91">
        <v>20896</v>
      </c>
      <c r="M531" s="91">
        <v>19938</v>
      </c>
      <c r="N531" s="91">
        <v>24919</v>
      </c>
      <c r="O531" s="91">
        <v>1696</v>
      </c>
      <c r="P531" s="91">
        <v>656</v>
      </c>
      <c r="Q531" s="91">
        <v>0</v>
      </c>
      <c r="R531" s="91">
        <v>0</v>
      </c>
      <c r="S531" s="91">
        <v>-841</v>
      </c>
      <c r="T531" s="91">
        <v>0</v>
      </c>
      <c r="U531" s="91">
        <v>0</v>
      </c>
      <c r="V531" s="202">
        <v>0</v>
      </c>
      <c r="W531" s="91">
        <v>-75</v>
      </c>
      <c r="X531" s="91">
        <v>0</v>
      </c>
      <c r="Y531" s="91">
        <v>766</v>
      </c>
      <c r="Z531" s="91">
        <v>0</v>
      </c>
      <c r="AA531" s="91">
        <v>0</v>
      </c>
      <c r="AB531" s="91">
        <v>-75</v>
      </c>
      <c r="AC531" s="91">
        <v>-75</v>
      </c>
      <c r="AD531" s="91">
        <v>-75</v>
      </c>
      <c r="AE531" s="91">
        <v>-75</v>
      </c>
      <c r="AF531" s="91">
        <v>-75</v>
      </c>
      <c r="AG531" s="91">
        <v>-391</v>
      </c>
      <c r="AH531" s="84">
        <v>11.2</v>
      </c>
      <c r="AI531" s="97">
        <f t="shared" si="8"/>
        <v>1511</v>
      </c>
    </row>
    <row r="532" spans="1:35">
      <c r="A532" s="55" t="s">
        <v>697</v>
      </c>
      <c r="B532" s="91">
        <v>0</v>
      </c>
      <c r="C532" s="91">
        <v>0</v>
      </c>
      <c r="D532" s="91">
        <v>10</v>
      </c>
      <c r="E532" s="90">
        <v>10</v>
      </c>
      <c r="F532" s="91">
        <v>16939</v>
      </c>
      <c r="G532" s="91">
        <v>14902</v>
      </c>
      <c r="H532" s="91">
        <v>2435</v>
      </c>
      <c r="I532" s="91">
        <v>580.63999999999987</v>
      </c>
      <c r="J532" s="91">
        <v>-398</v>
      </c>
      <c r="K532" s="91">
        <v>17662</v>
      </c>
      <c r="L532" s="91">
        <v>16228</v>
      </c>
      <c r="M532" s="91">
        <v>15681</v>
      </c>
      <c r="N532" s="91">
        <v>18372</v>
      </c>
      <c r="O532" s="91">
        <v>2006</v>
      </c>
      <c r="P532" s="91">
        <v>494</v>
      </c>
      <c r="Q532" s="91">
        <v>0</v>
      </c>
      <c r="R532" s="91">
        <v>0</v>
      </c>
      <c r="S532" s="91">
        <v>-463</v>
      </c>
      <c r="T532" s="91">
        <v>0</v>
      </c>
      <c r="U532" s="91">
        <v>0</v>
      </c>
      <c r="V532" s="202">
        <v>0</v>
      </c>
      <c r="W532" s="91">
        <v>-65</v>
      </c>
      <c r="X532" s="91">
        <v>0</v>
      </c>
      <c r="Y532" s="91">
        <v>398</v>
      </c>
      <c r="Z532" s="91">
        <v>0</v>
      </c>
      <c r="AA532" s="91">
        <v>0</v>
      </c>
      <c r="AB532" s="91">
        <v>-65</v>
      </c>
      <c r="AC532" s="91">
        <v>-65</v>
      </c>
      <c r="AD532" s="91">
        <v>-65</v>
      </c>
      <c r="AE532" s="91">
        <v>-65</v>
      </c>
      <c r="AF532" s="91">
        <v>-65</v>
      </c>
      <c r="AG532" s="91">
        <v>-73</v>
      </c>
      <c r="AH532" s="84">
        <v>7.1</v>
      </c>
      <c r="AI532" s="97">
        <f t="shared" si="8"/>
        <v>2037</v>
      </c>
    </row>
    <row r="533" spans="1:35">
      <c r="A533" s="55" t="s">
        <v>698</v>
      </c>
      <c r="B533" s="91">
        <v>0</v>
      </c>
      <c r="C533" s="91">
        <v>0</v>
      </c>
      <c r="D533" s="91">
        <v>6</v>
      </c>
      <c r="E533" s="90">
        <v>6</v>
      </c>
      <c r="F533" s="91">
        <v>6838</v>
      </c>
      <c r="G533" s="91">
        <v>5217</v>
      </c>
      <c r="H533" s="91">
        <v>2141</v>
      </c>
      <c r="I533" s="91">
        <v>1.629999999999999</v>
      </c>
      <c r="J533" s="91">
        <v>-520</v>
      </c>
      <c r="K533" s="91">
        <v>7730</v>
      </c>
      <c r="L533" s="91">
        <v>6057</v>
      </c>
      <c r="M533" s="91">
        <v>5684</v>
      </c>
      <c r="N533" s="91">
        <v>8376</v>
      </c>
      <c r="O533" s="91">
        <v>1985</v>
      </c>
      <c r="P533" s="91">
        <v>210</v>
      </c>
      <c r="Q533" s="91">
        <v>0</v>
      </c>
      <c r="R533" s="91">
        <v>0</v>
      </c>
      <c r="S533" s="91">
        <v>-574</v>
      </c>
      <c r="T533" s="91">
        <v>0</v>
      </c>
      <c r="U533" s="91">
        <v>0</v>
      </c>
      <c r="V533" s="202">
        <v>0</v>
      </c>
      <c r="W533" s="91">
        <v>-54</v>
      </c>
      <c r="X533" s="91">
        <v>0</v>
      </c>
      <c r="Y533" s="91">
        <v>520</v>
      </c>
      <c r="Z533" s="91">
        <v>0</v>
      </c>
      <c r="AA533" s="91">
        <v>0</v>
      </c>
      <c r="AB533" s="91">
        <v>-54</v>
      </c>
      <c r="AC533" s="91">
        <v>-54</v>
      </c>
      <c r="AD533" s="91">
        <v>-54</v>
      </c>
      <c r="AE533" s="91">
        <v>-54</v>
      </c>
      <c r="AF533" s="91">
        <v>-54</v>
      </c>
      <c r="AG533" s="91">
        <v>-250</v>
      </c>
      <c r="AH533" s="84">
        <v>10.6</v>
      </c>
      <c r="AI533" s="97">
        <f t="shared" si="8"/>
        <v>1621</v>
      </c>
    </row>
    <row r="534" spans="1:35">
      <c r="A534" s="55" t="s">
        <v>699</v>
      </c>
      <c r="B534" s="91">
        <v>0</v>
      </c>
      <c r="C534" s="91">
        <v>0</v>
      </c>
      <c r="D534" s="91">
        <v>12</v>
      </c>
      <c r="E534" s="90">
        <v>12</v>
      </c>
      <c r="F534" s="91">
        <v>32333</v>
      </c>
      <c r="G534" s="91">
        <v>29510</v>
      </c>
      <c r="H534" s="91">
        <v>4013</v>
      </c>
      <c r="I534" s="91">
        <v>651.66999999999985</v>
      </c>
      <c r="J534" s="91">
        <v>-1190</v>
      </c>
      <c r="K534" s="91">
        <v>34487</v>
      </c>
      <c r="L534" s="91">
        <v>30272</v>
      </c>
      <c r="M534" s="91">
        <v>28961</v>
      </c>
      <c r="N534" s="91">
        <v>36353</v>
      </c>
      <c r="O534" s="91">
        <v>3222</v>
      </c>
      <c r="P534" s="91">
        <v>956</v>
      </c>
      <c r="Q534" s="91">
        <v>0</v>
      </c>
      <c r="R534" s="91">
        <v>0</v>
      </c>
      <c r="S534" s="91">
        <v>-1355</v>
      </c>
      <c r="T534" s="91">
        <v>0</v>
      </c>
      <c r="U534" s="91">
        <v>0</v>
      </c>
      <c r="V534" s="202">
        <v>0</v>
      </c>
      <c r="W534" s="91">
        <v>-165</v>
      </c>
      <c r="X534" s="91">
        <v>0</v>
      </c>
      <c r="Y534" s="91">
        <v>1190</v>
      </c>
      <c r="Z534" s="91">
        <v>0</v>
      </c>
      <c r="AA534" s="91">
        <v>0</v>
      </c>
      <c r="AB534" s="91">
        <v>-165</v>
      </c>
      <c r="AC534" s="91">
        <v>-165</v>
      </c>
      <c r="AD534" s="91">
        <v>-165</v>
      </c>
      <c r="AE534" s="91">
        <v>-165</v>
      </c>
      <c r="AF534" s="91">
        <v>-165</v>
      </c>
      <c r="AG534" s="91">
        <v>-365</v>
      </c>
      <c r="AH534" s="84">
        <v>8.1999999999999993</v>
      </c>
      <c r="AI534" s="97">
        <f t="shared" si="8"/>
        <v>2823</v>
      </c>
    </row>
    <row r="535" spans="1:35">
      <c r="A535" s="55" t="s">
        <v>700</v>
      </c>
      <c r="B535" s="91">
        <v>3</v>
      </c>
      <c r="C535" s="91">
        <v>0</v>
      </c>
      <c r="D535" s="91">
        <v>77</v>
      </c>
      <c r="E535" s="90">
        <v>77</v>
      </c>
      <c r="F535" s="91">
        <v>299435</v>
      </c>
      <c r="G535" s="91">
        <v>294050</v>
      </c>
      <c r="H535" s="91">
        <v>28265</v>
      </c>
      <c r="I535" s="91">
        <v>8811.5900000000038</v>
      </c>
      <c r="J535" s="91">
        <v>-11775</v>
      </c>
      <c r="K535" s="91">
        <v>319979</v>
      </c>
      <c r="L535" s="91">
        <v>279290</v>
      </c>
      <c r="M535" s="91">
        <v>266969</v>
      </c>
      <c r="N535" s="91">
        <v>337663</v>
      </c>
      <c r="O535" s="91">
        <v>20594</v>
      </c>
      <c r="P535" s="91">
        <v>9025</v>
      </c>
      <c r="Q535" s="91">
        <v>0</v>
      </c>
      <c r="R535" s="91">
        <v>0</v>
      </c>
      <c r="S535" s="91">
        <v>-13129</v>
      </c>
      <c r="T535" s="91">
        <v>11105</v>
      </c>
      <c r="U535" s="91">
        <v>0</v>
      </c>
      <c r="V535" s="202">
        <v>0</v>
      </c>
      <c r="W535" s="91">
        <v>-1354</v>
      </c>
      <c r="X535" s="91">
        <v>0</v>
      </c>
      <c r="Y535" s="91">
        <v>11775</v>
      </c>
      <c r="Z535" s="91">
        <v>0</v>
      </c>
      <c r="AA535" s="91">
        <v>0</v>
      </c>
      <c r="AB535" s="91">
        <v>-1354</v>
      </c>
      <c r="AC535" s="91">
        <v>-1354</v>
      </c>
      <c r="AD535" s="91">
        <v>-1354</v>
      </c>
      <c r="AE535" s="91">
        <v>-1354</v>
      </c>
      <c r="AF535" s="91">
        <v>-1354</v>
      </c>
      <c r="AG535" s="91">
        <v>-5005</v>
      </c>
      <c r="AH535" s="84">
        <v>9.6999999999999993</v>
      </c>
      <c r="AI535" s="97">
        <f t="shared" si="8"/>
        <v>5385</v>
      </c>
    </row>
    <row r="536" spans="1:35">
      <c r="A536" s="55" t="s">
        <v>701</v>
      </c>
      <c r="B536" s="91">
        <v>0</v>
      </c>
      <c r="C536" s="91">
        <v>0</v>
      </c>
      <c r="D536" s="91">
        <v>0</v>
      </c>
      <c r="E536" s="90">
        <v>0</v>
      </c>
      <c r="F536" s="91">
        <v>0</v>
      </c>
      <c r="G536" s="91">
        <v>0</v>
      </c>
      <c r="H536" s="91">
        <v>0</v>
      </c>
      <c r="I536" s="91">
        <v>0</v>
      </c>
      <c r="J536" s="91">
        <v>0</v>
      </c>
      <c r="K536" s="91">
        <v>0</v>
      </c>
      <c r="L536" s="91">
        <v>0</v>
      </c>
      <c r="M536" s="91">
        <v>0</v>
      </c>
      <c r="N536" s="91">
        <v>0</v>
      </c>
      <c r="O536" s="91">
        <v>0</v>
      </c>
      <c r="P536" s="91">
        <v>0</v>
      </c>
      <c r="Q536" s="91">
        <v>0</v>
      </c>
      <c r="R536" s="91">
        <v>0</v>
      </c>
      <c r="S536" s="91">
        <v>0</v>
      </c>
      <c r="T536" s="91">
        <v>0</v>
      </c>
      <c r="U536" s="91">
        <v>0</v>
      </c>
      <c r="V536" s="202">
        <v>0</v>
      </c>
      <c r="W536" s="91">
        <v>0</v>
      </c>
      <c r="X536" s="91">
        <v>0</v>
      </c>
      <c r="Y536" s="91">
        <v>0</v>
      </c>
      <c r="Z536" s="91">
        <v>0</v>
      </c>
      <c r="AA536" s="91">
        <v>0</v>
      </c>
      <c r="AB536" s="91">
        <v>0</v>
      </c>
      <c r="AC536" s="91">
        <v>0</v>
      </c>
      <c r="AD536" s="91">
        <v>0</v>
      </c>
      <c r="AE536" s="91">
        <v>0</v>
      </c>
      <c r="AF536" s="91">
        <v>0</v>
      </c>
      <c r="AG536" s="91">
        <v>0</v>
      </c>
      <c r="AH536" s="84">
        <v>1</v>
      </c>
      <c r="AI536" s="97">
        <f t="shared" si="8"/>
        <v>0</v>
      </c>
    </row>
    <row r="537" spans="1:35">
      <c r="A537" s="55" t="s">
        <v>702</v>
      </c>
      <c r="B537" s="91">
        <v>1</v>
      </c>
      <c r="C537" s="91">
        <v>0</v>
      </c>
      <c r="D537" s="91">
        <v>111</v>
      </c>
      <c r="E537" s="90">
        <v>113</v>
      </c>
      <c r="F537" s="91">
        <v>376867</v>
      </c>
      <c r="G537" s="91">
        <v>357453</v>
      </c>
      <c r="H537" s="91">
        <v>40516</v>
      </c>
      <c r="I537" s="91">
        <v>7077.5699999999979</v>
      </c>
      <c r="J537" s="91">
        <v>-16569</v>
      </c>
      <c r="K537" s="91">
        <v>405267</v>
      </c>
      <c r="L537" s="91">
        <v>349308</v>
      </c>
      <c r="M537" s="91">
        <v>331651</v>
      </c>
      <c r="N537" s="91">
        <v>430504</v>
      </c>
      <c r="O537" s="91">
        <v>31059</v>
      </c>
      <c r="P537" s="91">
        <v>11278</v>
      </c>
      <c r="Q537" s="91">
        <v>0</v>
      </c>
      <c r="R537" s="91">
        <v>0</v>
      </c>
      <c r="S537" s="91">
        <v>-18390</v>
      </c>
      <c r="T537" s="91">
        <v>4533</v>
      </c>
      <c r="U537" s="91">
        <v>0</v>
      </c>
      <c r="V537" s="202">
        <v>0</v>
      </c>
      <c r="W537" s="91">
        <v>-1821</v>
      </c>
      <c r="X537" s="91">
        <v>0</v>
      </c>
      <c r="Y537" s="91">
        <v>16569</v>
      </c>
      <c r="Z537" s="91">
        <v>0</v>
      </c>
      <c r="AA537" s="91">
        <v>0</v>
      </c>
      <c r="AB537" s="91">
        <v>-1821</v>
      </c>
      <c r="AC537" s="91">
        <v>-1821</v>
      </c>
      <c r="AD537" s="91">
        <v>-1821</v>
      </c>
      <c r="AE537" s="91">
        <v>-1821</v>
      </c>
      <c r="AF537" s="91">
        <v>-1821</v>
      </c>
      <c r="AG537" s="91">
        <v>-7464</v>
      </c>
      <c r="AH537" s="84">
        <v>10.1</v>
      </c>
      <c r="AI537" s="97">
        <f t="shared" si="8"/>
        <v>19414</v>
      </c>
    </row>
    <row r="538" spans="1:35">
      <c r="A538" s="55" t="s">
        <v>703</v>
      </c>
      <c r="B538" s="91">
        <v>0</v>
      </c>
      <c r="C538" s="91">
        <v>0</v>
      </c>
      <c r="D538" s="91">
        <v>0</v>
      </c>
      <c r="E538" s="90">
        <v>0</v>
      </c>
      <c r="F538" s="91">
        <v>0</v>
      </c>
      <c r="G538" s="91">
        <v>0</v>
      </c>
      <c r="H538" s="91">
        <v>0</v>
      </c>
      <c r="I538" s="91">
        <v>0</v>
      </c>
      <c r="J538" s="91">
        <v>0</v>
      </c>
      <c r="K538" s="91">
        <v>0</v>
      </c>
      <c r="L538" s="91">
        <v>0</v>
      </c>
      <c r="M538" s="91">
        <v>0</v>
      </c>
      <c r="N538" s="91">
        <v>0</v>
      </c>
      <c r="O538" s="91">
        <v>0</v>
      </c>
      <c r="P538" s="91">
        <v>0</v>
      </c>
      <c r="Q538" s="91">
        <v>0</v>
      </c>
      <c r="R538" s="91">
        <v>0</v>
      </c>
      <c r="S538" s="91">
        <v>0</v>
      </c>
      <c r="T538" s="91">
        <v>0</v>
      </c>
      <c r="U538" s="91">
        <v>0</v>
      </c>
      <c r="V538" s="202">
        <v>0</v>
      </c>
      <c r="W538" s="91">
        <v>0</v>
      </c>
      <c r="X538" s="91">
        <v>0</v>
      </c>
      <c r="Y538" s="91">
        <v>0</v>
      </c>
      <c r="Z538" s="91">
        <v>0</v>
      </c>
      <c r="AA538" s="91">
        <v>0</v>
      </c>
      <c r="AB538" s="91">
        <v>0</v>
      </c>
      <c r="AC538" s="91">
        <v>0</v>
      </c>
      <c r="AD538" s="91">
        <v>0</v>
      </c>
      <c r="AE538" s="91">
        <v>0</v>
      </c>
      <c r="AF538" s="91">
        <v>0</v>
      </c>
      <c r="AG538" s="91">
        <v>0</v>
      </c>
      <c r="AH538" s="84">
        <v>1</v>
      </c>
      <c r="AI538" s="97">
        <f t="shared" si="8"/>
        <v>0</v>
      </c>
    </row>
    <row r="539" spans="1:35">
      <c r="A539" s="55" t="s">
        <v>704</v>
      </c>
      <c r="B539" s="91">
        <v>0</v>
      </c>
      <c r="C539" s="91">
        <v>0</v>
      </c>
      <c r="D539" s="91">
        <v>0</v>
      </c>
      <c r="E539" s="90">
        <v>0</v>
      </c>
      <c r="F539" s="91">
        <v>0</v>
      </c>
      <c r="G539" s="91">
        <v>0</v>
      </c>
      <c r="H539" s="91">
        <v>0</v>
      </c>
      <c r="I539" s="91">
        <v>0</v>
      </c>
      <c r="J539" s="91">
        <v>0</v>
      </c>
      <c r="K539" s="91">
        <v>0</v>
      </c>
      <c r="L539" s="91">
        <v>0</v>
      </c>
      <c r="M539" s="91">
        <v>0</v>
      </c>
      <c r="N539" s="91">
        <v>0</v>
      </c>
      <c r="O539" s="91">
        <v>0</v>
      </c>
      <c r="P539" s="91">
        <v>0</v>
      </c>
      <c r="Q539" s="91">
        <v>0</v>
      </c>
      <c r="R539" s="91">
        <v>0</v>
      </c>
      <c r="S539" s="91">
        <v>0</v>
      </c>
      <c r="T539" s="91">
        <v>0</v>
      </c>
      <c r="U539" s="91">
        <v>0</v>
      </c>
      <c r="V539" s="202">
        <v>0</v>
      </c>
      <c r="W539" s="91">
        <v>0</v>
      </c>
      <c r="X539" s="91">
        <v>0</v>
      </c>
      <c r="Y539" s="91">
        <v>0</v>
      </c>
      <c r="Z539" s="91">
        <v>0</v>
      </c>
      <c r="AA539" s="91">
        <v>0</v>
      </c>
      <c r="AB539" s="91">
        <v>0</v>
      </c>
      <c r="AC539" s="91">
        <v>0</v>
      </c>
      <c r="AD539" s="91">
        <v>0</v>
      </c>
      <c r="AE539" s="91">
        <v>0</v>
      </c>
      <c r="AF539" s="91">
        <v>0</v>
      </c>
      <c r="AG539" s="91">
        <v>0</v>
      </c>
      <c r="AH539" s="84">
        <v>1</v>
      </c>
      <c r="AI539" s="97">
        <f t="shared" si="8"/>
        <v>0</v>
      </c>
    </row>
    <row r="540" spans="1:35" ht="22.5">
      <c r="A540" s="55" t="s">
        <v>705</v>
      </c>
      <c r="B540" s="91">
        <v>0</v>
      </c>
      <c r="C540" s="91">
        <v>0</v>
      </c>
      <c r="D540" s="91">
        <v>0</v>
      </c>
      <c r="E540" s="90">
        <v>0</v>
      </c>
      <c r="F540" s="91">
        <v>0</v>
      </c>
      <c r="G540" s="91">
        <v>0</v>
      </c>
      <c r="H540" s="91">
        <v>0</v>
      </c>
      <c r="I540" s="91">
        <v>0</v>
      </c>
      <c r="J540" s="91">
        <v>0</v>
      </c>
      <c r="K540" s="91">
        <v>0</v>
      </c>
      <c r="L540" s="91">
        <v>0</v>
      </c>
      <c r="M540" s="91">
        <v>0</v>
      </c>
      <c r="N540" s="91">
        <v>0</v>
      </c>
      <c r="O540" s="91">
        <v>0</v>
      </c>
      <c r="P540" s="91">
        <v>0</v>
      </c>
      <c r="Q540" s="91">
        <v>0</v>
      </c>
      <c r="R540" s="91">
        <v>0</v>
      </c>
      <c r="S540" s="91">
        <v>0</v>
      </c>
      <c r="T540" s="91">
        <v>0</v>
      </c>
      <c r="U540" s="91">
        <v>0</v>
      </c>
      <c r="V540" s="202">
        <v>0</v>
      </c>
      <c r="W540" s="91">
        <v>0</v>
      </c>
      <c r="X540" s="91">
        <v>0</v>
      </c>
      <c r="Y540" s="91">
        <v>0</v>
      </c>
      <c r="Z540" s="91">
        <v>0</v>
      </c>
      <c r="AA540" s="91">
        <v>0</v>
      </c>
      <c r="AB540" s="91">
        <v>0</v>
      </c>
      <c r="AC540" s="91">
        <v>0</v>
      </c>
      <c r="AD540" s="91">
        <v>0</v>
      </c>
      <c r="AE540" s="91">
        <v>0</v>
      </c>
      <c r="AF540" s="91">
        <v>0</v>
      </c>
      <c r="AG540" s="91">
        <v>0</v>
      </c>
      <c r="AH540" s="84">
        <v>1</v>
      </c>
      <c r="AI540" s="97">
        <f t="shared" si="8"/>
        <v>0</v>
      </c>
    </row>
    <row r="541" spans="1:35">
      <c r="A541" s="55" t="s">
        <v>706</v>
      </c>
      <c r="B541" s="91">
        <v>0</v>
      </c>
      <c r="C541" s="91">
        <v>0</v>
      </c>
      <c r="D541" s="91">
        <v>0</v>
      </c>
      <c r="E541" s="90">
        <v>0</v>
      </c>
      <c r="F541" s="91">
        <v>0</v>
      </c>
      <c r="G541" s="91">
        <v>0</v>
      </c>
      <c r="H541" s="91">
        <v>0</v>
      </c>
      <c r="I541" s="91">
        <v>0</v>
      </c>
      <c r="J541" s="91">
        <v>0</v>
      </c>
      <c r="K541" s="91">
        <v>0</v>
      </c>
      <c r="L541" s="91">
        <v>0</v>
      </c>
      <c r="M541" s="91">
        <v>0</v>
      </c>
      <c r="N541" s="91">
        <v>0</v>
      </c>
      <c r="O541" s="91">
        <v>0</v>
      </c>
      <c r="P541" s="91">
        <v>0</v>
      </c>
      <c r="Q541" s="91">
        <v>0</v>
      </c>
      <c r="R541" s="91">
        <v>0</v>
      </c>
      <c r="S541" s="91">
        <v>0</v>
      </c>
      <c r="T541" s="91">
        <v>0</v>
      </c>
      <c r="U541" s="91">
        <v>0</v>
      </c>
      <c r="V541" s="202">
        <v>0</v>
      </c>
      <c r="W541" s="91">
        <v>0</v>
      </c>
      <c r="X541" s="91">
        <v>0</v>
      </c>
      <c r="Y541" s="91">
        <v>0</v>
      </c>
      <c r="Z541" s="91">
        <v>0</v>
      </c>
      <c r="AA541" s="91">
        <v>0</v>
      </c>
      <c r="AB541" s="91">
        <v>0</v>
      </c>
      <c r="AC541" s="91">
        <v>0</v>
      </c>
      <c r="AD541" s="91">
        <v>0</v>
      </c>
      <c r="AE541" s="91">
        <v>0</v>
      </c>
      <c r="AF541" s="91">
        <v>0</v>
      </c>
      <c r="AG541" s="91">
        <v>0</v>
      </c>
      <c r="AH541" s="84">
        <v>1</v>
      </c>
      <c r="AI541" s="97">
        <f t="shared" si="8"/>
        <v>0</v>
      </c>
    </row>
    <row r="542" spans="1:35">
      <c r="A542" s="55" t="s">
        <v>707</v>
      </c>
      <c r="B542" s="91">
        <v>0</v>
      </c>
      <c r="C542" s="91">
        <v>0</v>
      </c>
      <c r="D542" s="91">
        <v>0</v>
      </c>
      <c r="E542" s="90">
        <v>0</v>
      </c>
      <c r="F542" s="91">
        <v>0</v>
      </c>
      <c r="G542" s="91">
        <v>0</v>
      </c>
      <c r="H542" s="91">
        <v>0</v>
      </c>
      <c r="I542" s="91">
        <v>0</v>
      </c>
      <c r="J542" s="91">
        <v>0</v>
      </c>
      <c r="K542" s="91">
        <v>0</v>
      </c>
      <c r="L542" s="91">
        <v>0</v>
      </c>
      <c r="M542" s="91">
        <v>0</v>
      </c>
      <c r="N542" s="91">
        <v>0</v>
      </c>
      <c r="O542" s="91">
        <v>0</v>
      </c>
      <c r="P542" s="91">
        <v>0</v>
      </c>
      <c r="Q542" s="91">
        <v>0</v>
      </c>
      <c r="R542" s="91">
        <v>0</v>
      </c>
      <c r="S542" s="91">
        <v>0</v>
      </c>
      <c r="T542" s="91">
        <v>0</v>
      </c>
      <c r="U542" s="91">
        <v>0</v>
      </c>
      <c r="V542" s="202">
        <v>0</v>
      </c>
      <c r="W542" s="91">
        <v>0</v>
      </c>
      <c r="X542" s="91">
        <v>0</v>
      </c>
      <c r="Y542" s="91">
        <v>0</v>
      </c>
      <c r="Z542" s="91">
        <v>0</v>
      </c>
      <c r="AA542" s="91">
        <v>0</v>
      </c>
      <c r="AB542" s="91">
        <v>0</v>
      </c>
      <c r="AC542" s="91">
        <v>0</v>
      </c>
      <c r="AD542" s="91">
        <v>0</v>
      </c>
      <c r="AE542" s="91">
        <v>0</v>
      </c>
      <c r="AF542" s="91">
        <v>0</v>
      </c>
      <c r="AG542" s="91">
        <v>0</v>
      </c>
      <c r="AH542" s="84">
        <v>1</v>
      </c>
      <c r="AI542" s="97">
        <f t="shared" si="8"/>
        <v>0</v>
      </c>
    </row>
    <row r="543" spans="1:35" ht="22.5">
      <c r="A543" s="55" t="s">
        <v>708</v>
      </c>
      <c r="B543" s="91">
        <v>0</v>
      </c>
      <c r="C543" s="91">
        <v>0</v>
      </c>
      <c r="D543" s="91">
        <v>151</v>
      </c>
      <c r="E543" s="90">
        <v>155</v>
      </c>
      <c r="F543" s="91">
        <v>114159</v>
      </c>
      <c r="G543" s="91">
        <v>88630</v>
      </c>
      <c r="H543" s="91">
        <v>31645</v>
      </c>
      <c r="I543" s="91">
        <v>432.20999999999708</v>
      </c>
      <c r="J543" s="91">
        <v>-6116</v>
      </c>
      <c r="K543" s="91">
        <v>124810</v>
      </c>
      <c r="L543" s="91">
        <v>104097</v>
      </c>
      <c r="M543" s="91">
        <v>97448</v>
      </c>
      <c r="N543" s="91">
        <v>134073</v>
      </c>
      <c r="O543" s="91">
        <v>28852</v>
      </c>
      <c r="P543" s="91">
        <v>3430</v>
      </c>
      <c r="Q543" s="91">
        <v>0</v>
      </c>
      <c r="R543" s="91">
        <v>0</v>
      </c>
      <c r="S543" s="91">
        <v>-6753</v>
      </c>
      <c r="T543" s="91">
        <v>0</v>
      </c>
      <c r="U543" s="91">
        <v>0</v>
      </c>
      <c r="V543" s="202">
        <v>0</v>
      </c>
      <c r="W543" s="91">
        <v>-637</v>
      </c>
      <c r="X543" s="91">
        <v>0</v>
      </c>
      <c r="Y543" s="91">
        <v>6116</v>
      </c>
      <c r="Z543" s="91">
        <v>0</v>
      </c>
      <c r="AA543" s="91">
        <v>0</v>
      </c>
      <c r="AB543" s="91">
        <v>-637</v>
      </c>
      <c r="AC543" s="91">
        <v>-637</v>
      </c>
      <c r="AD543" s="91">
        <v>-637</v>
      </c>
      <c r="AE543" s="91">
        <v>-637</v>
      </c>
      <c r="AF543" s="91">
        <v>-637</v>
      </c>
      <c r="AG543" s="91">
        <v>-2931</v>
      </c>
      <c r="AH543" s="84">
        <v>10.6</v>
      </c>
      <c r="AI543" s="97">
        <f t="shared" si="8"/>
        <v>25529</v>
      </c>
    </row>
    <row r="544" spans="1:35">
      <c r="A544" s="55" t="s">
        <v>709</v>
      </c>
      <c r="B544" s="91">
        <v>0</v>
      </c>
      <c r="C544" s="91">
        <v>0</v>
      </c>
      <c r="D544" s="91">
        <v>0</v>
      </c>
      <c r="E544" s="90">
        <v>0</v>
      </c>
      <c r="F544" s="91">
        <v>0</v>
      </c>
      <c r="G544" s="91">
        <v>0</v>
      </c>
      <c r="H544" s="91">
        <v>0</v>
      </c>
      <c r="I544" s="91">
        <v>0</v>
      </c>
      <c r="J544" s="91">
        <v>0</v>
      </c>
      <c r="K544" s="91">
        <v>0</v>
      </c>
      <c r="L544" s="91">
        <v>0</v>
      </c>
      <c r="M544" s="91">
        <v>0</v>
      </c>
      <c r="N544" s="91">
        <v>0</v>
      </c>
      <c r="O544" s="91">
        <v>0</v>
      </c>
      <c r="P544" s="91">
        <v>0</v>
      </c>
      <c r="Q544" s="91">
        <v>0</v>
      </c>
      <c r="R544" s="91">
        <v>0</v>
      </c>
      <c r="S544" s="91">
        <v>0</v>
      </c>
      <c r="T544" s="91">
        <v>0</v>
      </c>
      <c r="U544" s="91">
        <v>0</v>
      </c>
      <c r="V544" s="202">
        <v>0</v>
      </c>
      <c r="W544" s="91">
        <v>0</v>
      </c>
      <c r="X544" s="91">
        <v>0</v>
      </c>
      <c r="Y544" s="91">
        <v>0</v>
      </c>
      <c r="Z544" s="91">
        <v>0</v>
      </c>
      <c r="AA544" s="91">
        <v>0</v>
      </c>
      <c r="AB544" s="91">
        <v>0</v>
      </c>
      <c r="AC544" s="91">
        <v>0</v>
      </c>
      <c r="AD544" s="91">
        <v>0</v>
      </c>
      <c r="AE544" s="91">
        <v>0</v>
      </c>
      <c r="AF544" s="91">
        <v>0</v>
      </c>
      <c r="AG544" s="91">
        <v>0</v>
      </c>
      <c r="AH544" s="84">
        <v>1</v>
      </c>
      <c r="AI544" s="97">
        <f t="shared" si="8"/>
        <v>0</v>
      </c>
    </row>
    <row r="545" spans="1:35">
      <c r="A545" s="55" t="s">
        <v>710</v>
      </c>
      <c r="B545" s="91">
        <v>0</v>
      </c>
      <c r="C545" s="91">
        <v>0</v>
      </c>
      <c r="D545" s="91">
        <v>52</v>
      </c>
      <c r="E545" s="90">
        <v>57</v>
      </c>
      <c r="F545" s="91">
        <v>84877</v>
      </c>
      <c r="G545" s="91">
        <v>77156</v>
      </c>
      <c r="H545" s="91">
        <v>12255</v>
      </c>
      <c r="I545" s="91">
        <v>421.28999999999974</v>
      </c>
      <c r="J545" s="91">
        <v>-4534</v>
      </c>
      <c r="K545" s="91">
        <v>92783</v>
      </c>
      <c r="L545" s="91">
        <v>77607</v>
      </c>
      <c r="M545" s="91">
        <v>72992</v>
      </c>
      <c r="N545" s="91">
        <v>99327</v>
      </c>
      <c r="O545" s="91">
        <v>10172</v>
      </c>
      <c r="P545" s="91">
        <v>2550</v>
      </c>
      <c r="Q545" s="91">
        <v>0</v>
      </c>
      <c r="R545" s="91">
        <v>0</v>
      </c>
      <c r="S545" s="91">
        <v>-5001</v>
      </c>
      <c r="T545" s="91">
        <v>0</v>
      </c>
      <c r="U545" s="91">
        <v>0</v>
      </c>
      <c r="V545" s="202">
        <v>0</v>
      </c>
      <c r="W545" s="91">
        <v>-467</v>
      </c>
      <c r="X545" s="91">
        <v>0</v>
      </c>
      <c r="Y545" s="91">
        <v>4534</v>
      </c>
      <c r="Z545" s="91">
        <v>0</v>
      </c>
      <c r="AA545" s="91">
        <v>0</v>
      </c>
      <c r="AB545" s="91">
        <v>-467</v>
      </c>
      <c r="AC545" s="91">
        <v>-467</v>
      </c>
      <c r="AD545" s="91">
        <v>-467</v>
      </c>
      <c r="AE545" s="91">
        <v>-467</v>
      </c>
      <c r="AF545" s="91">
        <v>-467</v>
      </c>
      <c r="AG545" s="91">
        <v>-2199</v>
      </c>
      <c r="AH545" s="84">
        <v>10.7</v>
      </c>
      <c r="AI545" s="97">
        <f t="shared" si="8"/>
        <v>7721</v>
      </c>
    </row>
    <row r="546" spans="1:35" ht="22.5">
      <c r="A546" s="55" t="s">
        <v>711</v>
      </c>
      <c r="B546" s="91">
        <v>4</v>
      </c>
      <c r="C546" s="91">
        <v>0</v>
      </c>
      <c r="D546" s="91">
        <v>114</v>
      </c>
      <c r="E546" s="90">
        <v>137</v>
      </c>
      <c r="F546" s="91">
        <v>275601</v>
      </c>
      <c r="G546" s="91">
        <v>268763</v>
      </c>
      <c r="H546" s="91">
        <v>32776</v>
      </c>
      <c r="I546" s="91">
        <v>13603.939999999999</v>
      </c>
      <c r="J546" s="91">
        <v>-12167</v>
      </c>
      <c r="K546" s="91">
        <v>297164</v>
      </c>
      <c r="L546" s="91">
        <v>255370</v>
      </c>
      <c r="M546" s="91">
        <v>243969</v>
      </c>
      <c r="N546" s="91">
        <v>312794</v>
      </c>
      <c r="O546" s="91">
        <v>25913</v>
      </c>
      <c r="P546" s="91">
        <v>8403</v>
      </c>
      <c r="Q546" s="91">
        <v>0</v>
      </c>
      <c r="R546" s="91">
        <v>0</v>
      </c>
      <c r="S546" s="91">
        <v>-13707</v>
      </c>
      <c r="T546" s="91">
        <v>13771</v>
      </c>
      <c r="U546" s="91">
        <v>0</v>
      </c>
      <c r="V546" s="202">
        <v>0</v>
      </c>
      <c r="W546" s="91">
        <v>-1540</v>
      </c>
      <c r="X546" s="91">
        <v>0</v>
      </c>
      <c r="Y546" s="91">
        <v>12167</v>
      </c>
      <c r="Z546" s="91">
        <v>0</v>
      </c>
      <c r="AA546" s="91">
        <v>0</v>
      </c>
      <c r="AB546" s="91">
        <v>-1540</v>
      </c>
      <c r="AC546" s="91">
        <v>-1540</v>
      </c>
      <c r="AD546" s="91">
        <v>-1540</v>
      </c>
      <c r="AE546" s="91">
        <v>-1540</v>
      </c>
      <c r="AF546" s="91">
        <v>-1540</v>
      </c>
      <c r="AG546" s="91">
        <v>-4467</v>
      </c>
      <c r="AH546" s="84">
        <v>8.9</v>
      </c>
      <c r="AI546" s="97">
        <f t="shared" si="8"/>
        <v>6838</v>
      </c>
    </row>
    <row r="547" spans="1:35">
      <c r="A547" s="55" t="s">
        <v>712</v>
      </c>
      <c r="B547" s="91">
        <v>0</v>
      </c>
      <c r="C547" s="91">
        <v>0</v>
      </c>
      <c r="D547" s="91">
        <v>0</v>
      </c>
      <c r="E547" s="90">
        <v>0</v>
      </c>
      <c r="F547" s="91">
        <v>0</v>
      </c>
      <c r="G547" s="91">
        <v>0</v>
      </c>
      <c r="H547" s="91">
        <v>0</v>
      </c>
      <c r="I547" s="91">
        <v>0</v>
      </c>
      <c r="J547" s="91">
        <v>0</v>
      </c>
      <c r="K547" s="91">
        <v>0</v>
      </c>
      <c r="L547" s="91">
        <v>0</v>
      </c>
      <c r="M547" s="91">
        <v>0</v>
      </c>
      <c r="N547" s="91">
        <v>0</v>
      </c>
      <c r="O547" s="91">
        <v>0</v>
      </c>
      <c r="P547" s="91">
        <v>0</v>
      </c>
      <c r="Q547" s="91">
        <v>0</v>
      </c>
      <c r="R547" s="91">
        <v>0</v>
      </c>
      <c r="S547" s="91">
        <v>0</v>
      </c>
      <c r="T547" s="91">
        <v>0</v>
      </c>
      <c r="U547" s="91">
        <v>0</v>
      </c>
      <c r="V547" s="202">
        <v>0</v>
      </c>
      <c r="W547" s="91">
        <v>0</v>
      </c>
      <c r="X547" s="91">
        <v>0</v>
      </c>
      <c r="Y547" s="91">
        <v>0</v>
      </c>
      <c r="Z547" s="91">
        <v>0</v>
      </c>
      <c r="AA547" s="91">
        <v>0</v>
      </c>
      <c r="AB547" s="91">
        <v>0</v>
      </c>
      <c r="AC547" s="91">
        <v>0</v>
      </c>
      <c r="AD547" s="91">
        <v>0</v>
      </c>
      <c r="AE547" s="91">
        <v>0</v>
      </c>
      <c r="AF547" s="91">
        <v>0</v>
      </c>
      <c r="AG547" s="91">
        <v>0</v>
      </c>
      <c r="AH547" s="84">
        <v>1</v>
      </c>
      <c r="AI547" s="97">
        <f t="shared" si="8"/>
        <v>0</v>
      </c>
    </row>
    <row r="548" spans="1:35">
      <c r="A548" s="55" t="s">
        <v>713</v>
      </c>
      <c r="B548" s="91">
        <v>0</v>
      </c>
      <c r="C548" s="91">
        <v>0</v>
      </c>
      <c r="D548" s="91">
        <v>144</v>
      </c>
      <c r="E548" s="90">
        <v>155</v>
      </c>
      <c r="F548" s="91">
        <v>271579</v>
      </c>
      <c r="G548" s="91">
        <v>255444</v>
      </c>
      <c r="H548" s="91">
        <v>29283</v>
      </c>
      <c r="I548" s="91">
        <v>2921.38</v>
      </c>
      <c r="J548" s="91">
        <v>-13148</v>
      </c>
      <c r="K548" s="91">
        <v>294869</v>
      </c>
      <c r="L548" s="91">
        <v>249692</v>
      </c>
      <c r="M548" s="91">
        <v>235990</v>
      </c>
      <c r="N548" s="91">
        <v>313949</v>
      </c>
      <c r="O548" s="91">
        <v>22762</v>
      </c>
      <c r="P548" s="91">
        <v>8124</v>
      </c>
      <c r="Q548" s="91">
        <v>0</v>
      </c>
      <c r="R548" s="91">
        <v>0</v>
      </c>
      <c r="S548" s="91">
        <v>-14751</v>
      </c>
      <c r="T548" s="91">
        <v>0</v>
      </c>
      <c r="U548" s="91">
        <v>0</v>
      </c>
      <c r="V548" s="202">
        <v>0</v>
      </c>
      <c r="W548" s="91">
        <v>-1603</v>
      </c>
      <c r="X548" s="91">
        <v>0</v>
      </c>
      <c r="Y548" s="91">
        <v>13148</v>
      </c>
      <c r="Z548" s="91">
        <v>0</v>
      </c>
      <c r="AA548" s="91">
        <v>0</v>
      </c>
      <c r="AB548" s="91">
        <v>-1603</v>
      </c>
      <c r="AC548" s="91">
        <v>-1603</v>
      </c>
      <c r="AD548" s="91">
        <v>-1603</v>
      </c>
      <c r="AE548" s="91">
        <v>-1603</v>
      </c>
      <c r="AF548" s="91">
        <v>-1603</v>
      </c>
      <c r="AG548" s="91">
        <v>-5133</v>
      </c>
      <c r="AH548" s="84">
        <v>9.1999999999999993</v>
      </c>
      <c r="AI548" s="97">
        <f t="shared" si="8"/>
        <v>16135</v>
      </c>
    </row>
    <row r="549" spans="1:35">
      <c r="A549" s="55" t="s">
        <v>714</v>
      </c>
      <c r="B549" s="91">
        <v>0</v>
      </c>
      <c r="C549" s="91">
        <v>0</v>
      </c>
      <c r="D549" s="91">
        <v>41</v>
      </c>
      <c r="E549" s="90">
        <v>46</v>
      </c>
      <c r="F549" s="91">
        <v>39306</v>
      </c>
      <c r="G549" s="91">
        <v>32897</v>
      </c>
      <c r="H549" s="91">
        <v>7833</v>
      </c>
      <c r="I549" s="91">
        <v>284.18000000000006</v>
      </c>
      <c r="J549" s="91">
        <v>-1424</v>
      </c>
      <c r="K549" s="91">
        <v>41847</v>
      </c>
      <c r="L549" s="91">
        <v>36966</v>
      </c>
      <c r="M549" s="91">
        <v>35312</v>
      </c>
      <c r="N549" s="91">
        <v>44101</v>
      </c>
      <c r="O549" s="91">
        <v>6837</v>
      </c>
      <c r="P549" s="91">
        <v>1160</v>
      </c>
      <c r="Q549" s="91">
        <v>0</v>
      </c>
      <c r="R549" s="91">
        <v>0</v>
      </c>
      <c r="S549" s="91">
        <v>-1588</v>
      </c>
      <c r="T549" s="91">
        <v>0</v>
      </c>
      <c r="U549" s="91">
        <v>0</v>
      </c>
      <c r="V549" s="202">
        <v>0</v>
      </c>
      <c r="W549" s="91">
        <v>-164</v>
      </c>
      <c r="X549" s="91">
        <v>0</v>
      </c>
      <c r="Y549" s="91">
        <v>1424</v>
      </c>
      <c r="Z549" s="91">
        <v>0</v>
      </c>
      <c r="AA549" s="91">
        <v>0</v>
      </c>
      <c r="AB549" s="91">
        <v>-164</v>
      </c>
      <c r="AC549" s="91">
        <v>-164</v>
      </c>
      <c r="AD549" s="91">
        <v>-164</v>
      </c>
      <c r="AE549" s="91">
        <v>-164</v>
      </c>
      <c r="AF549" s="91">
        <v>-164</v>
      </c>
      <c r="AG549" s="91">
        <v>-604</v>
      </c>
      <c r="AH549" s="84">
        <v>9.6999999999999993</v>
      </c>
      <c r="AI549" s="97">
        <f t="shared" si="8"/>
        <v>6409</v>
      </c>
    </row>
    <row r="550" spans="1:35">
      <c r="A550" s="55" t="s">
        <v>715</v>
      </c>
      <c r="B550" s="91">
        <v>0</v>
      </c>
      <c r="C550" s="91">
        <v>0</v>
      </c>
      <c r="D550" s="91">
        <v>1</v>
      </c>
      <c r="E550" s="90">
        <v>2</v>
      </c>
      <c r="F550" s="91">
        <v>1663</v>
      </c>
      <c r="G550" s="91">
        <v>1496</v>
      </c>
      <c r="H550" s="91">
        <v>245</v>
      </c>
      <c r="I550" s="91">
        <v>0</v>
      </c>
      <c r="J550" s="91">
        <v>-78</v>
      </c>
      <c r="K550" s="91">
        <v>1789</v>
      </c>
      <c r="L550" s="91">
        <v>1546</v>
      </c>
      <c r="M550" s="91">
        <v>1431</v>
      </c>
      <c r="N550" s="91">
        <v>1941</v>
      </c>
      <c r="O550" s="91">
        <v>202</v>
      </c>
      <c r="P550" s="91">
        <v>50</v>
      </c>
      <c r="Q550" s="91">
        <v>0</v>
      </c>
      <c r="R550" s="91">
        <v>0</v>
      </c>
      <c r="S550" s="91">
        <v>-85</v>
      </c>
      <c r="T550" s="91">
        <v>0</v>
      </c>
      <c r="U550" s="91">
        <v>0</v>
      </c>
      <c r="V550" s="202">
        <v>0</v>
      </c>
      <c r="W550" s="91">
        <v>-7</v>
      </c>
      <c r="X550" s="91">
        <v>0</v>
      </c>
      <c r="Y550" s="91">
        <v>78</v>
      </c>
      <c r="Z550" s="91">
        <v>0</v>
      </c>
      <c r="AA550" s="91">
        <v>0</v>
      </c>
      <c r="AB550" s="91">
        <v>-7</v>
      </c>
      <c r="AC550" s="91">
        <v>-7</v>
      </c>
      <c r="AD550" s="91">
        <v>-7</v>
      </c>
      <c r="AE550" s="91">
        <v>-7</v>
      </c>
      <c r="AF550" s="91">
        <v>-7</v>
      </c>
      <c r="AG550" s="91">
        <v>-43</v>
      </c>
      <c r="AH550" s="84">
        <v>12.3</v>
      </c>
      <c r="AI550" s="97">
        <f t="shared" si="8"/>
        <v>167</v>
      </c>
    </row>
    <row r="551" spans="1:35">
      <c r="A551" s="55" t="s">
        <v>716</v>
      </c>
      <c r="B551" s="91">
        <v>0</v>
      </c>
      <c r="C551" s="91">
        <v>0</v>
      </c>
      <c r="D551" s="91">
        <v>0</v>
      </c>
      <c r="E551" s="90">
        <v>0</v>
      </c>
      <c r="F551" s="91">
        <v>0</v>
      </c>
      <c r="G551" s="91">
        <v>0</v>
      </c>
      <c r="H551" s="91">
        <v>0</v>
      </c>
      <c r="I551" s="91">
        <v>0</v>
      </c>
      <c r="J551" s="91">
        <v>0</v>
      </c>
      <c r="K551" s="91">
        <v>0</v>
      </c>
      <c r="L551" s="91">
        <v>0</v>
      </c>
      <c r="M551" s="91">
        <v>0</v>
      </c>
      <c r="N551" s="91">
        <v>0</v>
      </c>
      <c r="O551" s="91">
        <v>0</v>
      </c>
      <c r="P551" s="91">
        <v>0</v>
      </c>
      <c r="Q551" s="91">
        <v>0</v>
      </c>
      <c r="R551" s="91">
        <v>0</v>
      </c>
      <c r="S551" s="91">
        <v>0</v>
      </c>
      <c r="T551" s="91">
        <v>0</v>
      </c>
      <c r="U551" s="91">
        <v>0</v>
      </c>
      <c r="V551" s="202">
        <v>0</v>
      </c>
      <c r="W551" s="91">
        <v>0</v>
      </c>
      <c r="X551" s="91">
        <v>0</v>
      </c>
      <c r="Y551" s="91">
        <v>0</v>
      </c>
      <c r="Z551" s="91">
        <v>0</v>
      </c>
      <c r="AA551" s="91">
        <v>0</v>
      </c>
      <c r="AB551" s="91">
        <v>0</v>
      </c>
      <c r="AC551" s="91">
        <v>0</v>
      </c>
      <c r="AD551" s="91">
        <v>0</v>
      </c>
      <c r="AE551" s="91">
        <v>0</v>
      </c>
      <c r="AF551" s="91">
        <v>0</v>
      </c>
      <c r="AG551" s="91">
        <v>0</v>
      </c>
      <c r="AH551" s="84">
        <v>1</v>
      </c>
      <c r="AI551" s="97">
        <f t="shared" si="8"/>
        <v>0</v>
      </c>
    </row>
    <row r="552" spans="1:35">
      <c r="A552" s="55" t="s">
        <v>717</v>
      </c>
      <c r="B552" s="91">
        <v>0</v>
      </c>
      <c r="C552" s="91">
        <v>0</v>
      </c>
      <c r="D552" s="91">
        <v>0</v>
      </c>
      <c r="E552" s="90">
        <v>0</v>
      </c>
      <c r="F552" s="91">
        <v>0</v>
      </c>
      <c r="G552" s="91">
        <v>0</v>
      </c>
      <c r="H552" s="91">
        <v>0</v>
      </c>
      <c r="I552" s="91">
        <v>0</v>
      </c>
      <c r="J552" s="91">
        <v>0</v>
      </c>
      <c r="K552" s="91">
        <v>0</v>
      </c>
      <c r="L552" s="91">
        <v>0</v>
      </c>
      <c r="M552" s="91">
        <v>0</v>
      </c>
      <c r="N552" s="91">
        <v>0</v>
      </c>
      <c r="O552" s="91">
        <v>0</v>
      </c>
      <c r="P552" s="91">
        <v>0</v>
      </c>
      <c r="Q552" s="91">
        <v>0</v>
      </c>
      <c r="R552" s="91">
        <v>0</v>
      </c>
      <c r="S552" s="91">
        <v>0</v>
      </c>
      <c r="T552" s="91">
        <v>0</v>
      </c>
      <c r="U552" s="91">
        <v>0</v>
      </c>
      <c r="V552" s="202">
        <v>0</v>
      </c>
      <c r="W552" s="91">
        <v>0</v>
      </c>
      <c r="X552" s="91">
        <v>0</v>
      </c>
      <c r="Y552" s="91">
        <v>0</v>
      </c>
      <c r="Z552" s="91">
        <v>0</v>
      </c>
      <c r="AA552" s="91">
        <v>0</v>
      </c>
      <c r="AB552" s="91">
        <v>0</v>
      </c>
      <c r="AC552" s="91">
        <v>0</v>
      </c>
      <c r="AD552" s="91">
        <v>0</v>
      </c>
      <c r="AE552" s="91">
        <v>0</v>
      </c>
      <c r="AF552" s="91">
        <v>0</v>
      </c>
      <c r="AG552" s="91">
        <v>0</v>
      </c>
      <c r="AH552" s="84">
        <v>1</v>
      </c>
      <c r="AI552" s="97">
        <f t="shared" si="8"/>
        <v>0</v>
      </c>
    </row>
    <row r="553" spans="1:35">
      <c r="A553" s="55" t="s">
        <v>718</v>
      </c>
      <c r="B553" s="91">
        <v>0</v>
      </c>
      <c r="C553" s="91">
        <v>0</v>
      </c>
      <c r="D553" s="91">
        <v>0</v>
      </c>
      <c r="E553" s="90">
        <v>0</v>
      </c>
      <c r="F553" s="91">
        <v>0</v>
      </c>
      <c r="G553" s="91">
        <v>0</v>
      </c>
      <c r="H553" s="91">
        <v>0</v>
      </c>
      <c r="I553" s="91">
        <v>0</v>
      </c>
      <c r="J553" s="91">
        <v>0</v>
      </c>
      <c r="K553" s="91">
        <v>0</v>
      </c>
      <c r="L553" s="91">
        <v>0</v>
      </c>
      <c r="M553" s="91">
        <v>0</v>
      </c>
      <c r="N553" s="91">
        <v>0</v>
      </c>
      <c r="O553" s="91">
        <v>0</v>
      </c>
      <c r="P553" s="91">
        <v>0</v>
      </c>
      <c r="Q553" s="91">
        <v>0</v>
      </c>
      <c r="R553" s="91">
        <v>0</v>
      </c>
      <c r="S553" s="91">
        <v>0</v>
      </c>
      <c r="T553" s="91">
        <v>0</v>
      </c>
      <c r="U553" s="91">
        <v>0</v>
      </c>
      <c r="V553" s="202">
        <v>0</v>
      </c>
      <c r="W553" s="91">
        <v>0</v>
      </c>
      <c r="X553" s="91">
        <v>0</v>
      </c>
      <c r="Y553" s="91">
        <v>0</v>
      </c>
      <c r="Z553" s="91">
        <v>0</v>
      </c>
      <c r="AA553" s="91">
        <v>0</v>
      </c>
      <c r="AB553" s="91">
        <v>0</v>
      </c>
      <c r="AC553" s="91">
        <v>0</v>
      </c>
      <c r="AD553" s="91">
        <v>0</v>
      </c>
      <c r="AE553" s="91">
        <v>0</v>
      </c>
      <c r="AF553" s="91">
        <v>0</v>
      </c>
      <c r="AG553" s="91">
        <v>0</v>
      </c>
      <c r="AH553" s="84">
        <v>1</v>
      </c>
      <c r="AI553" s="97">
        <f t="shared" si="8"/>
        <v>0</v>
      </c>
    </row>
    <row r="554" spans="1:35">
      <c r="A554" s="55" t="s">
        <v>719</v>
      </c>
      <c r="B554" s="91">
        <v>0</v>
      </c>
      <c r="C554" s="91">
        <v>0</v>
      </c>
      <c r="D554" s="91">
        <v>0</v>
      </c>
      <c r="E554" s="90">
        <v>1</v>
      </c>
      <c r="F554" s="91">
        <v>0</v>
      </c>
      <c r="G554" s="91">
        <v>0</v>
      </c>
      <c r="H554" s="91">
        <v>0</v>
      </c>
      <c r="I554" s="91">
        <v>0</v>
      </c>
      <c r="J554" s="91">
        <v>0</v>
      </c>
      <c r="K554" s="91">
        <v>0</v>
      </c>
      <c r="L554" s="91">
        <v>0</v>
      </c>
      <c r="M554" s="91">
        <v>0</v>
      </c>
      <c r="N554" s="91">
        <v>0</v>
      </c>
      <c r="O554" s="91">
        <v>0</v>
      </c>
      <c r="P554" s="91">
        <v>0</v>
      </c>
      <c r="Q554" s="91">
        <v>0</v>
      </c>
      <c r="R554" s="91">
        <v>0</v>
      </c>
      <c r="S554" s="91">
        <v>0</v>
      </c>
      <c r="T554" s="91">
        <v>0</v>
      </c>
      <c r="U554" s="91">
        <v>0</v>
      </c>
      <c r="V554" s="202">
        <v>0</v>
      </c>
      <c r="W554" s="91">
        <v>0</v>
      </c>
      <c r="X554" s="91">
        <v>0</v>
      </c>
      <c r="Y554" s="91">
        <v>0</v>
      </c>
      <c r="Z554" s="91">
        <v>0</v>
      </c>
      <c r="AA554" s="91">
        <v>0</v>
      </c>
      <c r="AB554" s="91">
        <v>0</v>
      </c>
      <c r="AC554" s="91">
        <v>0</v>
      </c>
      <c r="AD554" s="91">
        <v>0</v>
      </c>
      <c r="AE554" s="91">
        <v>0</v>
      </c>
      <c r="AF554" s="91">
        <v>0</v>
      </c>
      <c r="AG554" s="91">
        <v>0</v>
      </c>
      <c r="AH554" s="84">
        <v>1</v>
      </c>
      <c r="AI554" s="97">
        <f t="shared" si="8"/>
        <v>0</v>
      </c>
    </row>
    <row r="555" spans="1:35">
      <c r="A555" s="55" t="s">
        <v>720</v>
      </c>
      <c r="B555" s="91">
        <v>0</v>
      </c>
      <c r="C555" s="91">
        <v>0</v>
      </c>
      <c r="D555" s="91">
        <v>195</v>
      </c>
      <c r="E555" s="90">
        <v>212</v>
      </c>
      <c r="F555" s="91">
        <v>348100</v>
      </c>
      <c r="G555" s="91">
        <v>324635</v>
      </c>
      <c r="H555" s="91">
        <v>40630</v>
      </c>
      <c r="I555" s="91">
        <v>3585.6400000000003</v>
      </c>
      <c r="J555" s="91">
        <v>-17165</v>
      </c>
      <c r="K555" s="91">
        <v>378539</v>
      </c>
      <c r="L555" s="91">
        <v>319568</v>
      </c>
      <c r="M555" s="91">
        <v>302473</v>
      </c>
      <c r="N555" s="91">
        <v>403125</v>
      </c>
      <c r="O555" s="91">
        <v>32163</v>
      </c>
      <c r="P555" s="91">
        <v>10418</v>
      </c>
      <c r="Q555" s="91">
        <v>0</v>
      </c>
      <c r="R555" s="91">
        <v>0</v>
      </c>
      <c r="S555" s="91">
        <v>-19116</v>
      </c>
      <c r="T555" s="91">
        <v>0</v>
      </c>
      <c r="U555" s="91">
        <v>0</v>
      </c>
      <c r="V555" s="202">
        <v>0</v>
      </c>
      <c r="W555" s="91">
        <v>-1951</v>
      </c>
      <c r="X555" s="91">
        <v>0</v>
      </c>
      <c r="Y555" s="91">
        <v>17165</v>
      </c>
      <c r="Z555" s="91">
        <v>0</v>
      </c>
      <c r="AA555" s="91">
        <v>0</v>
      </c>
      <c r="AB555" s="91">
        <v>-1951</v>
      </c>
      <c r="AC555" s="91">
        <v>-1951</v>
      </c>
      <c r="AD555" s="91">
        <v>-1951</v>
      </c>
      <c r="AE555" s="91">
        <v>-1951</v>
      </c>
      <c r="AF555" s="91">
        <v>-1951</v>
      </c>
      <c r="AG555" s="91">
        <v>-7410</v>
      </c>
      <c r="AH555" s="84">
        <v>9.8000000000000007</v>
      </c>
      <c r="AI555" s="97">
        <f t="shared" si="8"/>
        <v>23465</v>
      </c>
    </row>
    <row r="556" spans="1:35" ht="22.5">
      <c r="A556" s="55" t="s">
        <v>721</v>
      </c>
      <c r="B556" s="91">
        <v>0</v>
      </c>
      <c r="C556" s="91">
        <v>0</v>
      </c>
      <c r="D556" s="91">
        <v>0</v>
      </c>
      <c r="E556" s="90">
        <v>0</v>
      </c>
      <c r="F556" s="91">
        <v>0</v>
      </c>
      <c r="G556" s="91">
        <v>0</v>
      </c>
      <c r="H556" s="91">
        <v>0</v>
      </c>
      <c r="I556" s="91">
        <v>0</v>
      </c>
      <c r="J556" s="91">
        <v>0</v>
      </c>
      <c r="K556" s="91">
        <v>0</v>
      </c>
      <c r="L556" s="91">
        <v>0</v>
      </c>
      <c r="M556" s="91">
        <v>0</v>
      </c>
      <c r="N556" s="91">
        <v>0</v>
      </c>
      <c r="O556" s="91">
        <v>0</v>
      </c>
      <c r="P556" s="91">
        <v>0</v>
      </c>
      <c r="Q556" s="91">
        <v>0</v>
      </c>
      <c r="R556" s="91">
        <v>0</v>
      </c>
      <c r="S556" s="91">
        <v>0</v>
      </c>
      <c r="T556" s="91">
        <v>0</v>
      </c>
      <c r="U556" s="91">
        <v>0</v>
      </c>
      <c r="V556" s="202">
        <v>0</v>
      </c>
      <c r="W556" s="91">
        <v>0</v>
      </c>
      <c r="X556" s="91">
        <v>0</v>
      </c>
      <c r="Y556" s="91">
        <v>0</v>
      </c>
      <c r="Z556" s="91">
        <v>0</v>
      </c>
      <c r="AA556" s="91">
        <v>0</v>
      </c>
      <c r="AB556" s="91">
        <v>0</v>
      </c>
      <c r="AC556" s="91">
        <v>0</v>
      </c>
      <c r="AD556" s="91">
        <v>0</v>
      </c>
      <c r="AE556" s="91">
        <v>0</v>
      </c>
      <c r="AF556" s="91">
        <v>0</v>
      </c>
      <c r="AG556" s="91">
        <v>0</v>
      </c>
      <c r="AH556" s="84">
        <v>1</v>
      </c>
      <c r="AI556" s="97">
        <f t="shared" si="8"/>
        <v>0</v>
      </c>
    </row>
    <row r="557" spans="1:35">
      <c r="A557" s="55" t="s">
        <v>722</v>
      </c>
      <c r="B557" s="91">
        <v>0</v>
      </c>
      <c r="C557" s="91">
        <v>0</v>
      </c>
      <c r="D557" s="91">
        <v>9</v>
      </c>
      <c r="E557" s="90">
        <v>9</v>
      </c>
      <c r="F557" s="91">
        <v>25971</v>
      </c>
      <c r="G557" s="91">
        <v>23461</v>
      </c>
      <c r="H557" s="91">
        <v>3871</v>
      </c>
      <c r="I557" s="91">
        <v>129.53999999999991</v>
      </c>
      <c r="J557" s="91">
        <v>-1361</v>
      </c>
      <c r="K557" s="91">
        <v>28464</v>
      </c>
      <c r="L557" s="91">
        <v>23663</v>
      </c>
      <c r="M557" s="91">
        <v>22485</v>
      </c>
      <c r="N557" s="91">
        <v>30126</v>
      </c>
      <c r="O557" s="91">
        <v>3277</v>
      </c>
      <c r="P557" s="91">
        <v>781</v>
      </c>
      <c r="Q557" s="91">
        <v>0</v>
      </c>
      <c r="R557" s="91">
        <v>0</v>
      </c>
      <c r="S557" s="91">
        <v>-1548</v>
      </c>
      <c r="T557" s="91">
        <v>0</v>
      </c>
      <c r="U557" s="91">
        <v>0</v>
      </c>
      <c r="V557" s="202">
        <v>0</v>
      </c>
      <c r="W557" s="91">
        <v>-187</v>
      </c>
      <c r="X557" s="91">
        <v>0</v>
      </c>
      <c r="Y557" s="91">
        <v>1361</v>
      </c>
      <c r="Z557" s="91">
        <v>0</v>
      </c>
      <c r="AA557" s="91">
        <v>0</v>
      </c>
      <c r="AB557" s="91">
        <v>-187</v>
      </c>
      <c r="AC557" s="91">
        <v>-187</v>
      </c>
      <c r="AD557" s="91">
        <v>-187</v>
      </c>
      <c r="AE557" s="91">
        <v>-187</v>
      </c>
      <c r="AF557" s="91">
        <v>-187</v>
      </c>
      <c r="AG557" s="91">
        <v>-426</v>
      </c>
      <c r="AH557" s="84">
        <v>8.3000000000000007</v>
      </c>
      <c r="AI557" s="97">
        <f t="shared" si="8"/>
        <v>2510</v>
      </c>
    </row>
    <row r="558" spans="1:35">
      <c r="A558" s="55" t="s">
        <v>723</v>
      </c>
      <c r="B558" s="91">
        <v>0</v>
      </c>
      <c r="C558" s="91">
        <v>0</v>
      </c>
      <c r="D558" s="91">
        <v>6</v>
      </c>
      <c r="E558" s="90">
        <v>6</v>
      </c>
      <c r="F558" s="91">
        <v>8052</v>
      </c>
      <c r="G558" s="91">
        <v>7009</v>
      </c>
      <c r="H558" s="91">
        <v>1246</v>
      </c>
      <c r="I558" s="91">
        <v>42.680000000000007</v>
      </c>
      <c r="J558" s="91">
        <v>-203</v>
      </c>
      <c r="K558" s="91">
        <v>8422</v>
      </c>
      <c r="L558" s="91">
        <v>7693</v>
      </c>
      <c r="M558" s="91">
        <v>7315</v>
      </c>
      <c r="N558" s="91">
        <v>8898</v>
      </c>
      <c r="O558" s="91">
        <v>1041</v>
      </c>
      <c r="P558" s="91">
        <v>235</v>
      </c>
      <c r="Q558" s="91">
        <v>0</v>
      </c>
      <c r="R558" s="91">
        <v>0</v>
      </c>
      <c r="S558" s="91">
        <v>-233</v>
      </c>
      <c r="T558" s="91">
        <v>0</v>
      </c>
      <c r="U558" s="91">
        <v>0</v>
      </c>
      <c r="V558" s="202">
        <v>0</v>
      </c>
      <c r="W558" s="91">
        <v>-30</v>
      </c>
      <c r="X558" s="91">
        <v>0</v>
      </c>
      <c r="Y558" s="91">
        <v>203</v>
      </c>
      <c r="Z558" s="91">
        <v>0</v>
      </c>
      <c r="AA558" s="91">
        <v>0</v>
      </c>
      <c r="AB558" s="91">
        <v>-30</v>
      </c>
      <c r="AC558" s="91">
        <v>-30</v>
      </c>
      <c r="AD558" s="91">
        <v>-30</v>
      </c>
      <c r="AE558" s="91">
        <v>-30</v>
      </c>
      <c r="AF558" s="91">
        <v>-30</v>
      </c>
      <c r="AG558" s="91">
        <v>-53</v>
      </c>
      <c r="AH558" s="84">
        <v>7.8</v>
      </c>
      <c r="AI558" s="97">
        <f t="shared" si="8"/>
        <v>1043</v>
      </c>
    </row>
    <row r="559" spans="1:35">
      <c r="A559" s="55" t="s">
        <v>724</v>
      </c>
      <c r="B559" s="91">
        <v>0</v>
      </c>
      <c r="C559" s="91">
        <v>0</v>
      </c>
      <c r="D559" s="91">
        <v>0</v>
      </c>
      <c r="E559" s="90">
        <v>0</v>
      </c>
      <c r="F559" s="91">
        <v>0</v>
      </c>
      <c r="G559" s="91">
        <v>0</v>
      </c>
      <c r="H559" s="91">
        <v>0</v>
      </c>
      <c r="I559" s="91">
        <v>0</v>
      </c>
      <c r="J559" s="91">
        <v>0</v>
      </c>
      <c r="K559" s="91">
        <v>0</v>
      </c>
      <c r="L559" s="91">
        <v>0</v>
      </c>
      <c r="M559" s="91">
        <v>0</v>
      </c>
      <c r="N559" s="91">
        <v>0</v>
      </c>
      <c r="O559" s="91">
        <v>0</v>
      </c>
      <c r="P559" s="91">
        <v>0</v>
      </c>
      <c r="Q559" s="91">
        <v>0</v>
      </c>
      <c r="R559" s="91">
        <v>0</v>
      </c>
      <c r="S559" s="91">
        <v>0</v>
      </c>
      <c r="T559" s="91">
        <v>0</v>
      </c>
      <c r="U559" s="91">
        <v>0</v>
      </c>
      <c r="V559" s="202">
        <v>0</v>
      </c>
      <c r="W559" s="91">
        <v>0</v>
      </c>
      <c r="X559" s="91">
        <v>0</v>
      </c>
      <c r="Y559" s="91">
        <v>0</v>
      </c>
      <c r="Z559" s="91">
        <v>0</v>
      </c>
      <c r="AA559" s="91">
        <v>0</v>
      </c>
      <c r="AB559" s="91">
        <v>0</v>
      </c>
      <c r="AC559" s="91">
        <v>0</v>
      </c>
      <c r="AD559" s="91">
        <v>0</v>
      </c>
      <c r="AE559" s="91">
        <v>0</v>
      </c>
      <c r="AF559" s="91">
        <v>0</v>
      </c>
      <c r="AG559" s="91">
        <v>0</v>
      </c>
      <c r="AH559" s="84">
        <v>1</v>
      </c>
      <c r="AI559" s="97">
        <f t="shared" si="8"/>
        <v>0</v>
      </c>
    </row>
    <row r="560" spans="1:35">
      <c r="A560" s="55" t="s">
        <v>725</v>
      </c>
      <c r="B560" s="91">
        <v>0</v>
      </c>
      <c r="C560" s="91">
        <v>0</v>
      </c>
      <c r="D560" s="91">
        <v>0</v>
      </c>
      <c r="E560" s="90">
        <v>0</v>
      </c>
      <c r="F560" s="91">
        <v>0</v>
      </c>
      <c r="G560" s="91">
        <v>0</v>
      </c>
      <c r="H560" s="91">
        <v>0</v>
      </c>
      <c r="I560" s="91">
        <v>0</v>
      </c>
      <c r="J560" s="91">
        <v>0</v>
      </c>
      <c r="K560" s="91">
        <v>0</v>
      </c>
      <c r="L560" s="91">
        <v>0</v>
      </c>
      <c r="M560" s="91">
        <v>0</v>
      </c>
      <c r="N560" s="91">
        <v>0</v>
      </c>
      <c r="O560" s="91">
        <v>0</v>
      </c>
      <c r="P560" s="91">
        <v>0</v>
      </c>
      <c r="Q560" s="91">
        <v>0</v>
      </c>
      <c r="R560" s="91">
        <v>0</v>
      </c>
      <c r="S560" s="91">
        <v>0</v>
      </c>
      <c r="T560" s="91">
        <v>0</v>
      </c>
      <c r="U560" s="91">
        <v>0</v>
      </c>
      <c r="V560" s="202">
        <v>0</v>
      </c>
      <c r="W560" s="91">
        <v>0</v>
      </c>
      <c r="X560" s="91">
        <v>0</v>
      </c>
      <c r="Y560" s="91">
        <v>0</v>
      </c>
      <c r="Z560" s="91">
        <v>0</v>
      </c>
      <c r="AA560" s="91">
        <v>0</v>
      </c>
      <c r="AB560" s="91">
        <v>0</v>
      </c>
      <c r="AC560" s="91">
        <v>0</v>
      </c>
      <c r="AD560" s="91">
        <v>0</v>
      </c>
      <c r="AE560" s="91">
        <v>0</v>
      </c>
      <c r="AF560" s="91">
        <v>0</v>
      </c>
      <c r="AG560" s="91">
        <v>0</v>
      </c>
      <c r="AH560" s="84">
        <v>1</v>
      </c>
      <c r="AI560" s="97">
        <f t="shared" si="8"/>
        <v>0</v>
      </c>
    </row>
    <row r="561" spans="1:35">
      <c r="A561" s="55" t="s">
        <v>726</v>
      </c>
      <c r="B561" s="91">
        <v>1</v>
      </c>
      <c r="C561" s="91">
        <v>0</v>
      </c>
      <c r="D561" s="91">
        <v>204</v>
      </c>
      <c r="E561" s="90">
        <v>232</v>
      </c>
      <c r="F561" s="91">
        <v>425465</v>
      </c>
      <c r="G561" s="91">
        <v>403348</v>
      </c>
      <c r="H561" s="91">
        <v>45713</v>
      </c>
      <c r="I561" s="91">
        <v>8161.450000000008</v>
      </c>
      <c r="J561" s="91">
        <v>-19614</v>
      </c>
      <c r="K561" s="91">
        <v>460399</v>
      </c>
      <c r="L561" s="91">
        <v>392934</v>
      </c>
      <c r="M561" s="91">
        <v>373267</v>
      </c>
      <c r="N561" s="91">
        <v>487954</v>
      </c>
      <c r="O561" s="91">
        <v>35441</v>
      </c>
      <c r="P561" s="91">
        <v>12755</v>
      </c>
      <c r="Q561" s="91">
        <v>0</v>
      </c>
      <c r="R561" s="91">
        <v>0</v>
      </c>
      <c r="S561" s="91">
        <v>-22097</v>
      </c>
      <c r="T561" s="91">
        <v>3982</v>
      </c>
      <c r="U561" s="91">
        <v>0</v>
      </c>
      <c r="V561" s="202">
        <v>0</v>
      </c>
      <c r="W561" s="91">
        <v>-2483</v>
      </c>
      <c r="X561" s="91">
        <v>0</v>
      </c>
      <c r="Y561" s="91">
        <v>19614</v>
      </c>
      <c r="Z561" s="91">
        <v>0</v>
      </c>
      <c r="AA561" s="91">
        <v>0</v>
      </c>
      <c r="AB561" s="91">
        <v>-2483</v>
      </c>
      <c r="AC561" s="91">
        <v>-2483</v>
      </c>
      <c r="AD561" s="91">
        <v>-2483</v>
      </c>
      <c r="AE561" s="91">
        <v>-2483</v>
      </c>
      <c r="AF561" s="91">
        <v>-2483</v>
      </c>
      <c r="AG561" s="91">
        <v>-7199</v>
      </c>
      <c r="AH561" s="84">
        <v>8.9</v>
      </c>
      <c r="AI561" s="97">
        <f t="shared" si="8"/>
        <v>22117</v>
      </c>
    </row>
    <row r="562" spans="1:35">
      <c r="A562" s="55" t="s">
        <v>727</v>
      </c>
      <c r="B562" s="91">
        <v>0</v>
      </c>
      <c r="C562" s="91">
        <v>0</v>
      </c>
      <c r="D562" s="91">
        <v>0</v>
      </c>
      <c r="E562" s="90">
        <v>0</v>
      </c>
      <c r="F562" s="91">
        <v>0</v>
      </c>
      <c r="G562" s="91">
        <v>0</v>
      </c>
      <c r="H562" s="91">
        <v>0</v>
      </c>
      <c r="I562" s="91">
        <v>0</v>
      </c>
      <c r="J562" s="91">
        <v>0</v>
      </c>
      <c r="K562" s="91">
        <v>0</v>
      </c>
      <c r="L562" s="91">
        <v>0</v>
      </c>
      <c r="M562" s="91">
        <v>0</v>
      </c>
      <c r="N562" s="91">
        <v>0</v>
      </c>
      <c r="O562" s="91">
        <v>0</v>
      </c>
      <c r="P562" s="91">
        <v>0</v>
      </c>
      <c r="Q562" s="91">
        <v>0</v>
      </c>
      <c r="R562" s="91">
        <v>0</v>
      </c>
      <c r="S562" s="91">
        <v>0</v>
      </c>
      <c r="T562" s="91">
        <v>0</v>
      </c>
      <c r="U562" s="91">
        <v>0</v>
      </c>
      <c r="V562" s="202">
        <v>0</v>
      </c>
      <c r="W562" s="91">
        <v>0</v>
      </c>
      <c r="X562" s="91">
        <v>0</v>
      </c>
      <c r="Y562" s="91">
        <v>0</v>
      </c>
      <c r="Z562" s="91">
        <v>0</v>
      </c>
      <c r="AA562" s="91">
        <v>0</v>
      </c>
      <c r="AB562" s="91">
        <v>0</v>
      </c>
      <c r="AC562" s="91">
        <v>0</v>
      </c>
      <c r="AD562" s="91">
        <v>0</v>
      </c>
      <c r="AE562" s="91">
        <v>0</v>
      </c>
      <c r="AF562" s="91">
        <v>0</v>
      </c>
      <c r="AG562" s="91">
        <v>0</v>
      </c>
      <c r="AH562" s="84">
        <v>1</v>
      </c>
      <c r="AI562" s="97">
        <f t="shared" si="8"/>
        <v>0</v>
      </c>
    </row>
    <row r="563" spans="1:35">
      <c r="A563" s="55" t="s">
        <v>728</v>
      </c>
      <c r="B563" s="91">
        <v>0</v>
      </c>
      <c r="C563" s="91">
        <v>0</v>
      </c>
      <c r="D563" s="91">
        <v>0</v>
      </c>
      <c r="E563" s="90">
        <v>0</v>
      </c>
      <c r="F563" s="91">
        <v>0</v>
      </c>
      <c r="G563" s="91">
        <v>0</v>
      </c>
      <c r="H563" s="91">
        <v>0</v>
      </c>
      <c r="I563" s="91">
        <v>0</v>
      </c>
      <c r="J563" s="91">
        <v>0</v>
      </c>
      <c r="K563" s="91">
        <v>0</v>
      </c>
      <c r="L563" s="91">
        <v>0</v>
      </c>
      <c r="M563" s="91">
        <v>0</v>
      </c>
      <c r="N563" s="91">
        <v>0</v>
      </c>
      <c r="O563" s="91">
        <v>0</v>
      </c>
      <c r="P563" s="91">
        <v>0</v>
      </c>
      <c r="Q563" s="91">
        <v>0</v>
      </c>
      <c r="R563" s="91">
        <v>0</v>
      </c>
      <c r="S563" s="91">
        <v>0</v>
      </c>
      <c r="T563" s="91">
        <v>0</v>
      </c>
      <c r="U563" s="91">
        <v>0</v>
      </c>
      <c r="V563" s="202">
        <v>0</v>
      </c>
      <c r="W563" s="91">
        <v>0</v>
      </c>
      <c r="X563" s="91">
        <v>0</v>
      </c>
      <c r="Y563" s="91">
        <v>0</v>
      </c>
      <c r="Z563" s="91">
        <v>0</v>
      </c>
      <c r="AA563" s="91">
        <v>0</v>
      </c>
      <c r="AB563" s="91">
        <v>0</v>
      </c>
      <c r="AC563" s="91">
        <v>0</v>
      </c>
      <c r="AD563" s="91">
        <v>0</v>
      </c>
      <c r="AE563" s="91">
        <v>0</v>
      </c>
      <c r="AF563" s="91">
        <v>0</v>
      </c>
      <c r="AG563" s="91">
        <v>0</v>
      </c>
      <c r="AH563" s="84">
        <v>1</v>
      </c>
      <c r="AI563" s="97">
        <f t="shared" si="8"/>
        <v>0</v>
      </c>
    </row>
    <row r="564" spans="1:35">
      <c r="A564" s="55" t="s">
        <v>729</v>
      </c>
      <c r="B564" s="91">
        <v>0</v>
      </c>
      <c r="C564" s="91">
        <v>0</v>
      </c>
      <c r="D564" s="91">
        <v>0</v>
      </c>
      <c r="E564" s="90">
        <v>0</v>
      </c>
      <c r="F564" s="91">
        <v>0</v>
      </c>
      <c r="G564" s="91">
        <v>0</v>
      </c>
      <c r="H564" s="91">
        <v>0</v>
      </c>
      <c r="I564" s="91">
        <v>0</v>
      </c>
      <c r="J564" s="91">
        <v>0</v>
      </c>
      <c r="K564" s="91">
        <v>0</v>
      </c>
      <c r="L564" s="91">
        <v>0</v>
      </c>
      <c r="M564" s="91">
        <v>0</v>
      </c>
      <c r="N564" s="91">
        <v>0</v>
      </c>
      <c r="O564" s="91">
        <v>0</v>
      </c>
      <c r="P564" s="91">
        <v>0</v>
      </c>
      <c r="Q564" s="91">
        <v>0</v>
      </c>
      <c r="R564" s="91">
        <v>0</v>
      </c>
      <c r="S564" s="91">
        <v>0</v>
      </c>
      <c r="T564" s="91">
        <v>0</v>
      </c>
      <c r="U564" s="91">
        <v>0</v>
      </c>
      <c r="V564" s="202">
        <v>0</v>
      </c>
      <c r="W564" s="91">
        <v>0</v>
      </c>
      <c r="X564" s="91">
        <v>0</v>
      </c>
      <c r="Y564" s="91">
        <v>0</v>
      </c>
      <c r="Z564" s="91">
        <v>0</v>
      </c>
      <c r="AA564" s="91">
        <v>0</v>
      </c>
      <c r="AB564" s="91">
        <v>0</v>
      </c>
      <c r="AC564" s="91">
        <v>0</v>
      </c>
      <c r="AD564" s="91">
        <v>0</v>
      </c>
      <c r="AE564" s="91">
        <v>0</v>
      </c>
      <c r="AF564" s="91">
        <v>0</v>
      </c>
      <c r="AG564" s="91">
        <v>0</v>
      </c>
      <c r="AH564" s="84">
        <v>1</v>
      </c>
      <c r="AI564" s="97">
        <f t="shared" si="8"/>
        <v>0</v>
      </c>
    </row>
    <row r="565" spans="1:35">
      <c r="A565" s="55" t="s">
        <v>730</v>
      </c>
      <c r="B565" s="91">
        <v>0</v>
      </c>
      <c r="C565" s="91">
        <v>0</v>
      </c>
      <c r="D565" s="91">
        <v>32</v>
      </c>
      <c r="E565" s="90">
        <v>34</v>
      </c>
      <c r="F565" s="91">
        <v>65637</v>
      </c>
      <c r="G565" s="91">
        <v>60659</v>
      </c>
      <c r="H565" s="91">
        <v>7579</v>
      </c>
      <c r="I565" s="91">
        <v>1032.3599999999997</v>
      </c>
      <c r="J565" s="91">
        <v>-2601</v>
      </c>
      <c r="K565" s="91">
        <v>70293</v>
      </c>
      <c r="L565" s="91">
        <v>61273</v>
      </c>
      <c r="M565" s="91">
        <v>58337</v>
      </c>
      <c r="N565" s="91">
        <v>74345</v>
      </c>
      <c r="O565" s="91">
        <v>6014</v>
      </c>
      <c r="P565" s="91">
        <v>1947</v>
      </c>
      <c r="Q565" s="91">
        <v>0</v>
      </c>
      <c r="R565" s="91">
        <v>0</v>
      </c>
      <c r="S565" s="91">
        <v>-2983</v>
      </c>
      <c r="T565" s="91">
        <v>0</v>
      </c>
      <c r="U565" s="91">
        <v>0</v>
      </c>
      <c r="V565" s="202">
        <v>0</v>
      </c>
      <c r="W565" s="91">
        <v>-382</v>
      </c>
      <c r="X565" s="91">
        <v>0</v>
      </c>
      <c r="Y565" s="91">
        <v>2601</v>
      </c>
      <c r="Z565" s="91">
        <v>0</v>
      </c>
      <c r="AA565" s="91">
        <v>0</v>
      </c>
      <c r="AB565" s="91">
        <v>-382</v>
      </c>
      <c r="AC565" s="91">
        <v>-382</v>
      </c>
      <c r="AD565" s="91">
        <v>-382</v>
      </c>
      <c r="AE565" s="91">
        <v>-382</v>
      </c>
      <c r="AF565" s="91">
        <v>-382</v>
      </c>
      <c r="AG565" s="91">
        <v>-691</v>
      </c>
      <c r="AH565" s="84">
        <v>7.8</v>
      </c>
      <c r="AI565" s="97">
        <f t="shared" si="8"/>
        <v>4978</v>
      </c>
    </row>
    <row r="566" spans="1:35">
      <c r="A566" s="55" t="s">
        <v>731</v>
      </c>
      <c r="B566" s="91">
        <v>0</v>
      </c>
      <c r="C566" s="91">
        <v>0</v>
      </c>
      <c r="D566" s="91">
        <v>3</v>
      </c>
      <c r="E566" s="90">
        <v>3</v>
      </c>
      <c r="F566" s="91">
        <v>2598</v>
      </c>
      <c r="G566" s="91">
        <v>2142</v>
      </c>
      <c r="H566" s="91">
        <v>477</v>
      </c>
      <c r="I566" s="91">
        <v>132.09000000000003</v>
      </c>
      <c r="J566" s="91">
        <v>-21</v>
      </c>
      <c r="K566" s="91">
        <v>2647</v>
      </c>
      <c r="L566" s="91">
        <v>2521</v>
      </c>
      <c r="M566" s="91">
        <v>2346</v>
      </c>
      <c r="N566" s="91">
        <v>2866</v>
      </c>
      <c r="O566" s="91">
        <v>409</v>
      </c>
      <c r="P566" s="91">
        <v>74</v>
      </c>
      <c r="Q566" s="91">
        <v>0</v>
      </c>
      <c r="R566" s="91">
        <v>0</v>
      </c>
      <c r="S566" s="91">
        <v>-27</v>
      </c>
      <c r="T566" s="91">
        <v>0</v>
      </c>
      <c r="U566" s="91">
        <v>0</v>
      </c>
      <c r="V566" s="202">
        <v>0</v>
      </c>
      <c r="W566" s="91">
        <v>-6</v>
      </c>
      <c r="X566" s="91">
        <v>0</v>
      </c>
      <c r="Y566" s="91">
        <v>21</v>
      </c>
      <c r="Z566" s="91">
        <v>0</v>
      </c>
      <c r="AA566" s="91">
        <v>0</v>
      </c>
      <c r="AB566" s="91">
        <v>-6</v>
      </c>
      <c r="AC566" s="91">
        <v>-6</v>
      </c>
      <c r="AD566" s="91">
        <v>-6</v>
      </c>
      <c r="AE566" s="91">
        <v>-3</v>
      </c>
      <c r="AF566" s="91">
        <v>0</v>
      </c>
      <c r="AG566" s="91">
        <v>0</v>
      </c>
      <c r="AH566" s="84">
        <v>4.5999999999999996</v>
      </c>
      <c r="AI566" s="97">
        <f t="shared" si="8"/>
        <v>456</v>
      </c>
    </row>
    <row r="567" spans="1:35">
      <c r="A567" s="55" t="s">
        <v>732</v>
      </c>
      <c r="B567" s="91">
        <v>0</v>
      </c>
      <c r="C567" s="91">
        <v>0</v>
      </c>
      <c r="D567" s="91">
        <v>1</v>
      </c>
      <c r="E567" s="90">
        <v>1</v>
      </c>
      <c r="F567" s="91">
        <v>2097</v>
      </c>
      <c r="G567" s="91">
        <v>1887</v>
      </c>
      <c r="H567" s="91">
        <v>210</v>
      </c>
      <c r="I567" s="91">
        <v>337.44000000000005</v>
      </c>
      <c r="J567" s="91">
        <v>0</v>
      </c>
      <c r="K567" s="91">
        <v>2125</v>
      </c>
      <c r="L567" s="91">
        <v>2069</v>
      </c>
      <c r="M567" s="91">
        <v>2057</v>
      </c>
      <c r="N567" s="91">
        <v>2139</v>
      </c>
      <c r="O567" s="91">
        <v>168</v>
      </c>
      <c r="P567" s="91">
        <v>60</v>
      </c>
      <c r="Q567" s="91">
        <v>0</v>
      </c>
      <c r="R567" s="91">
        <v>0</v>
      </c>
      <c r="S567" s="91">
        <v>-18</v>
      </c>
      <c r="T567" s="91">
        <v>0</v>
      </c>
      <c r="U567" s="91">
        <v>0</v>
      </c>
      <c r="V567" s="202">
        <v>0</v>
      </c>
      <c r="W567" s="91">
        <v>-18</v>
      </c>
      <c r="X567" s="91">
        <v>0</v>
      </c>
      <c r="Y567" s="91">
        <v>0</v>
      </c>
      <c r="Z567" s="91">
        <v>0</v>
      </c>
      <c r="AA567" s="91">
        <v>0</v>
      </c>
      <c r="AB567" s="91">
        <v>0</v>
      </c>
      <c r="AC567" s="91">
        <v>0</v>
      </c>
      <c r="AD567" s="91">
        <v>0</v>
      </c>
      <c r="AE567" s="91">
        <v>0</v>
      </c>
      <c r="AF567" s="91">
        <v>0</v>
      </c>
      <c r="AG567" s="91">
        <v>0</v>
      </c>
      <c r="AH567" s="84">
        <v>1</v>
      </c>
      <c r="AI567" s="97">
        <f t="shared" si="8"/>
        <v>210</v>
      </c>
    </row>
    <row r="568" spans="1:35">
      <c r="A568" s="55" t="s">
        <v>733</v>
      </c>
      <c r="B568" s="91">
        <v>0</v>
      </c>
      <c r="C568" s="91">
        <v>0</v>
      </c>
      <c r="D568" s="91">
        <v>23</v>
      </c>
      <c r="E568" s="90">
        <v>25</v>
      </c>
      <c r="F568" s="91">
        <v>19988</v>
      </c>
      <c r="G568" s="91">
        <v>13604</v>
      </c>
      <c r="H568" s="91">
        <v>7235</v>
      </c>
      <c r="I568" s="91">
        <v>335.74</v>
      </c>
      <c r="J568" s="91">
        <v>-851</v>
      </c>
      <c r="K568" s="91">
        <v>21505</v>
      </c>
      <c r="L568" s="91">
        <v>18483</v>
      </c>
      <c r="M568" s="91">
        <v>17596</v>
      </c>
      <c r="N568" s="91">
        <v>22717</v>
      </c>
      <c r="O568" s="91">
        <v>6746</v>
      </c>
      <c r="P568" s="91">
        <v>594</v>
      </c>
      <c r="Q568" s="91">
        <v>0</v>
      </c>
      <c r="R568" s="91">
        <v>0</v>
      </c>
      <c r="S568" s="91">
        <v>-956</v>
      </c>
      <c r="T568" s="91">
        <v>0</v>
      </c>
      <c r="U568" s="91">
        <v>0</v>
      </c>
      <c r="V568" s="202">
        <v>0</v>
      </c>
      <c r="W568" s="91">
        <v>-105</v>
      </c>
      <c r="X568" s="91">
        <v>0</v>
      </c>
      <c r="Y568" s="91">
        <v>851</v>
      </c>
      <c r="Z568" s="91">
        <v>0</v>
      </c>
      <c r="AA568" s="91">
        <v>0</v>
      </c>
      <c r="AB568" s="91">
        <v>-105</v>
      </c>
      <c r="AC568" s="91">
        <v>-105</v>
      </c>
      <c r="AD568" s="91">
        <v>-105</v>
      </c>
      <c r="AE568" s="91">
        <v>-105</v>
      </c>
      <c r="AF568" s="91">
        <v>-105</v>
      </c>
      <c r="AG568" s="91">
        <v>-326</v>
      </c>
      <c r="AH568" s="84">
        <v>9.1</v>
      </c>
      <c r="AI568" s="97">
        <f t="shared" si="8"/>
        <v>6384</v>
      </c>
    </row>
    <row r="569" spans="1:35">
      <c r="A569" s="55" t="s">
        <v>734</v>
      </c>
      <c r="B569" s="91">
        <v>0</v>
      </c>
      <c r="C569" s="91">
        <v>0</v>
      </c>
      <c r="D569" s="91">
        <v>0</v>
      </c>
      <c r="E569" s="90">
        <v>0</v>
      </c>
      <c r="F569" s="91">
        <v>0</v>
      </c>
      <c r="G569" s="91">
        <v>0</v>
      </c>
      <c r="H569" s="91">
        <v>0</v>
      </c>
      <c r="I569" s="91">
        <v>0</v>
      </c>
      <c r="J569" s="91">
        <v>0</v>
      </c>
      <c r="K569" s="91">
        <v>0</v>
      </c>
      <c r="L569" s="91">
        <v>0</v>
      </c>
      <c r="M569" s="91">
        <v>0</v>
      </c>
      <c r="N569" s="91">
        <v>0</v>
      </c>
      <c r="O569" s="91">
        <v>0</v>
      </c>
      <c r="P569" s="91">
        <v>0</v>
      </c>
      <c r="Q569" s="91">
        <v>0</v>
      </c>
      <c r="R569" s="91">
        <v>0</v>
      </c>
      <c r="S569" s="91">
        <v>0</v>
      </c>
      <c r="T569" s="91">
        <v>0</v>
      </c>
      <c r="U569" s="91">
        <v>0</v>
      </c>
      <c r="V569" s="202">
        <v>0</v>
      </c>
      <c r="W569" s="91">
        <v>0</v>
      </c>
      <c r="X569" s="91">
        <v>0</v>
      </c>
      <c r="Y569" s="91">
        <v>0</v>
      </c>
      <c r="Z569" s="91">
        <v>0</v>
      </c>
      <c r="AA569" s="91">
        <v>0</v>
      </c>
      <c r="AB569" s="91">
        <v>0</v>
      </c>
      <c r="AC569" s="91">
        <v>0</v>
      </c>
      <c r="AD569" s="91">
        <v>0</v>
      </c>
      <c r="AE569" s="91">
        <v>0</v>
      </c>
      <c r="AF569" s="91">
        <v>0</v>
      </c>
      <c r="AG569" s="91">
        <v>0</v>
      </c>
      <c r="AH569" s="84">
        <v>1</v>
      </c>
      <c r="AI569" s="97">
        <f t="shared" si="8"/>
        <v>0</v>
      </c>
    </row>
    <row r="570" spans="1:35">
      <c r="A570" s="55" t="s">
        <v>735</v>
      </c>
      <c r="B570" s="91">
        <v>0</v>
      </c>
      <c r="C570" s="91">
        <v>0</v>
      </c>
      <c r="D570" s="91">
        <v>0</v>
      </c>
      <c r="E570" s="90">
        <v>0</v>
      </c>
      <c r="F570" s="91">
        <v>0</v>
      </c>
      <c r="G570" s="91">
        <v>0</v>
      </c>
      <c r="H570" s="91">
        <v>0</v>
      </c>
      <c r="I570" s="91">
        <v>0</v>
      </c>
      <c r="J570" s="91">
        <v>0</v>
      </c>
      <c r="K570" s="91">
        <v>0</v>
      </c>
      <c r="L570" s="91">
        <v>0</v>
      </c>
      <c r="M570" s="91">
        <v>0</v>
      </c>
      <c r="N570" s="91">
        <v>0</v>
      </c>
      <c r="O570" s="91">
        <v>0</v>
      </c>
      <c r="P570" s="91">
        <v>0</v>
      </c>
      <c r="Q570" s="91">
        <v>0</v>
      </c>
      <c r="R570" s="91">
        <v>0</v>
      </c>
      <c r="S570" s="91">
        <v>0</v>
      </c>
      <c r="T570" s="91">
        <v>0</v>
      </c>
      <c r="U570" s="91">
        <v>0</v>
      </c>
      <c r="V570" s="202">
        <v>0</v>
      </c>
      <c r="W570" s="91">
        <v>0</v>
      </c>
      <c r="X570" s="91">
        <v>0</v>
      </c>
      <c r="Y570" s="91">
        <v>0</v>
      </c>
      <c r="Z570" s="91">
        <v>0</v>
      </c>
      <c r="AA570" s="91">
        <v>0</v>
      </c>
      <c r="AB570" s="91">
        <v>0</v>
      </c>
      <c r="AC570" s="91">
        <v>0</v>
      </c>
      <c r="AD570" s="91">
        <v>0</v>
      </c>
      <c r="AE570" s="91">
        <v>0</v>
      </c>
      <c r="AF570" s="91">
        <v>0</v>
      </c>
      <c r="AG570" s="91">
        <v>0</v>
      </c>
      <c r="AH570" s="84">
        <v>1</v>
      </c>
      <c r="AI570" s="97">
        <f t="shared" si="8"/>
        <v>0</v>
      </c>
    </row>
    <row r="571" spans="1:35">
      <c r="A571" s="55" t="s">
        <v>736</v>
      </c>
      <c r="B571" s="91">
        <v>0</v>
      </c>
      <c r="C571" s="91">
        <v>0</v>
      </c>
      <c r="D571" s="91">
        <v>11</v>
      </c>
      <c r="E571" s="90">
        <v>12</v>
      </c>
      <c r="F571" s="91">
        <v>4521</v>
      </c>
      <c r="G571" s="91">
        <v>3705</v>
      </c>
      <c r="H571" s="91">
        <v>802</v>
      </c>
      <c r="I571" s="91">
        <v>342.58000000000004</v>
      </c>
      <c r="J571" s="91">
        <v>14</v>
      </c>
      <c r="K571" s="91">
        <v>4516</v>
      </c>
      <c r="L571" s="91">
        <v>4506</v>
      </c>
      <c r="M571" s="91">
        <v>4352</v>
      </c>
      <c r="N571" s="91">
        <v>4668</v>
      </c>
      <c r="O571" s="91">
        <v>672</v>
      </c>
      <c r="P571" s="91">
        <v>128</v>
      </c>
      <c r="Q571" s="91">
        <v>0</v>
      </c>
      <c r="R571" s="91">
        <v>0</v>
      </c>
      <c r="S571" s="91">
        <v>16</v>
      </c>
      <c r="T571" s="91">
        <v>0</v>
      </c>
      <c r="U571" s="91">
        <v>0</v>
      </c>
      <c r="V571" s="202">
        <v>0</v>
      </c>
      <c r="W571" s="91">
        <v>2</v>
      </c>
      <c r="X571" s="91">
        <v>0</v>
      </c>
      <c r="Y571" s="91">
        <v>0</v>
      </c>
      <c r="Z571" s="91">
        <v>0</v>
      </c>
      <c r="AA571" s="91">
        <v>14</v>
      </c>
      <c r="AB571" s="91">
        <v>2</v>
      </c>
      <c r="AC571" s="91">
        <v>2</v>
      </c>
      <c r="AD571" s="91">
        <v>2</v>
      </c>
      <c r="AE571" s="91">
        <v>2</v>
      </c>
      <c r="AF571" s="91">
        <v>2</v>
      </c>
      <c r="AG571" s="91">
        <v>4</v>
      </c>
      <c r="AH571" s="84">
        <v>9.4</v>
      </c>
      <c r="AI571" s="97">
        <f t="shared" si="8"/>
        <v>816</v>
      </c>
    </row>
    <row r="572" spans="1:35">
      <c r="A572" s="55" t="s">
        <v>737</v>
      </c>
      <c r="B572" s="91">
        <v>0</v>
      </c>
      <c r="C572" s="91">
        <v>0</v>
      </c>
      <c r="D572" s="91">
        <v>7</v>
      </c>
      <c r="E572" s="90">
        <v>7</v>
      </c>
      <c r="F572" s="91">
        <v>5412</v>
      </c>
      <c r="G572" s="91">
        <v>3708</v>
      </c>
      <c r="H572" s="91">
        <v>1969</v>
      </c>
      <c r="I572" s="91">
        <v>0</v>
      </c>
      <c r="J572" s="91">
        <v>-265</v>
      </c>
      <c r="K572" s="91">
        <v>5905</v>
      </c>
      <c r="L572" s="91">
        <v>4912</v>
      </c>
      <c r="M572" s="91">
        <v>4616</v>
      </c>
      <c r="N572" s="91">
        <v>6312</v>
      </c>
      <c r="O572" s="91">
        <v>1836</v>
      </c>
      <c r="P572" s="91">
        <v>162</v>
      </c>
      <c r="Q572" s="91">
        <v>0</v>
      </c>
      <c r="R572" s="91">
        <v>0</v>
      </c>
      <c r="S572" s="91">
        <v>-294</v>
      </c>
      <c r="T572" s="91">
        <v>0</v>
      </c>
      <c r="U572" s="91">
        <v>0</v>
      </c>
      <c r="V572" s="202">
        <v>0</v>
      </c>
      <c r="W572" s="91">
        <v>-29</v>
      </c>
      <c r="X572" s="91">
        <v>0</v>
      </c>
      <c r="Y572" s="91">
        <v>265</v>
      </c>
      <c r="Z572" s="91">
        <v>0</v>
      </c>
      <c r="AA572" s="91">
        <v>0</v>
      </c>
      <c r="AB572" s="91">
        <v>-29</v>
      </c>
      <c r="AC572" s="91">
        <v>-29</v>
      </c>
      <c r="AD572" s="91">
        <v>-29</v>
      </c>
      <c r="AE572" s="91">
        <v>-29</v>
      </c>
      <c r="AF572" s="91">
        <v>-29</v>
      </c>
      <c r="AG572" s="91">
        <v>-120</v>
      </c>
      <c r="AH572" s="84">
        <v>10</v>
      </c>
      <c r="AI572" s="97">
        <f t="shared" si="8"/>
        <v>1704</v>
      </c>
    </row>
    <row r="573" spans="1:35">
      <c r="A573" s="55" t="s">
        <v>738</v>
      </c>
      <c r="B573" s="91">
        <v>0</v>
      </c>
      <c r="C573" s="91">
        <v>0</v>
      </c>
      <c r="D573" s="91">
        <v>4</v>
      </c>
      <c r="E573" s="90">
        <v>4</v>
      </c>
      <c r="F573" s="91">
        <v>2653</v>
      </c>
      <c r="G573" s="91">
        <v>2142</v>
      </c>
      <c r="H573" s="91">
        <v>517</v>
      </c>
      <c r="I573" s="91">
        <v>212.73999999999995</v>
      </c>
      <c r="J573" s="91">
        <v>-6</v>
      </c>
      <c r="K573" s="91">
        <v>2665</v>
      </c>
      <c r="L573" s="91">
        <v>2640</v>
      </c>
      <c r="M573" s="91">
        <v>2565</v>
      </c>
      <c r="N573" s="91">
        <v>2745</v>
      </c>
      <c r="O573" s="91">
        <v>443</v>
      </c>
      <c r="P573" s="91">
        <v>75</v>
      </c>
      <c r="Q573" s="91">
        <v>0</v>
      </c>
      <c r="R573" s="91">
        <v>0</v>
      </c>
      <c r="S573" s="91">
        <v>-7</v>
      </c>
      <c r="T573" s="91">
        <v>0</v>
      </c>
      <c r="U573" s="91">
        <v>0</v>
      </c>
      <c r="V573" s="202">
        <v>0</v>
      </c>
      <c r="W573" s="91">
        <v>-1</v>
      </c>
      <c r="X573" s="91">
        <v>0</v>
      </c>
      <c r="Y573" s="91">
        <v>6</v>
      </c>
      <c r="Z573" s="91">
        <v>0</v>
      </c>
      <c r="AA573" s="91">
        <v>0</v>
      </c>
      <c r="AB573" s="91">
        <v>-1</v>
      </c>
      <c r="AC573" s="91">
        <v>-1</v>
      </c>
      <c r="AD573" s="91">
        <v>-1</v>
      </c>
      <c r="AE573" s="91">
        <v>-1</v>
      </c>
      <c r="AF573" s="91">
        <v>-1</v>
      </c>
      <c r="AG573" s="91">
        <v>-1</v>
      </c>
      <c r="AH573" s="84">
        <v>6</v>
      </c>
      <c r="AI573" s="97">
        <f t="shared" si="8"/>
        <v>511</v>
      </c>
    </row>
    <row r="574" spans="1:35">
      <c r="A574" s="55" t="s">
        <v>739</v>
      </c>
      <c r="B574" s="91">
        <v>0</v>
      </c>
      <c r="C574" s="91">
        <v>0</v>
      </c>
      <c r="D574" s="91">
        <v>10</v>
      </c>
      <c r="E574" s="90">
        <v>10</v>
      </c>
      <c r="F574" s="91">
        <v>235045</v>
      </c>
      <c r="G574" s="91">
        <v>229474</v>
      </c>
      <c r="H574" s="91">
        <v>22233</v>
      </c>
      <c r="I574" s="91">
        <v>1376.1200000000003</v>
      </c>
      <c r="J574" s="91">
        <v>-16662</v>
      </c>
      <c r="K574" s="91">
        <v>264380</v>
      </c>
      <c r="L574" s="91">
        <v>208776</v>
      </c>
      <c r="M574" s="91">
        <v>196549</v>
      </c>
      <c r="N574" s="91">
        <v>282543</v>
      </c>
      <c r="O574" s="91">
        <v>16778</v>
      </c>
      <c r="P574" s="91">
        <v>7191</v>
      </c>
      <c r="Q574" s="91">
        <v>0</v>
      </c>
      <c r="R574" s="91">
        <v>0</v>
      </c>
      <c r="S574" s="91">
        <v>-18398</v>
      </c>
      <c r="T574" s="91">
        <v>0</v>
      </c>
      <c r="U574" s="91">
        <v>0</v>
      </c>
      <c r="V574" s="202">
        <v>0</v>
      </c>
      <c r="W574" s="91">
        <v>-1736</v>
      </c>
      <c r="X574" s="91">
        <v>0</v>
      </c>
      <c r="Y574" s="91">
        <v>16662</v>
      </c>
      <c r="Z574" s="91">
        <v>0</v>
      </c>
      <c r="AA574" s="91">
        <v>0</v>
      </c>
      <c r="AB574" s="91">
        <v>-1736</v>
      </c>
      <c r="AC574" s="91">
        <v>-1736</v>
      </c>
      <c r="AD574" s="91">
        <v>-1736</v>
      </c>
      <c r="AE574" s="91">
        <v>-1736</v>
      </c>
      <c r="AF574" s="91">
        <v>-1736</v>
      </c>
      <c r="AG574" s="91">
        <v>-7982</v>
      </c>
      <c r="AH574" s="84">
        <v>10.6</v>
      </c>
      <c r="AI574" s="97">
        <f t="shared" si="8"/>
        <v>5571</v>
      </c>
    </row>
    <row r="575" spans="1:35">
      <c r="A575" s="55" t="s">
        <v>740</v>
      </c>
      <c r="B575" s="91">
        <v>0</v>
      </c>
      <c r="C575" s="91">
        <v>0</v>
      </c>
      <c r="D575" s="91">
        <v>0</v>
      </c>
      <c r="E575" s="90">
        <v>0</v>
      </c>
      <c r="F575" s="91">
        <v>0</v>
      </c>
      <c r="G575" s="91">
        <v>0</v>
      </c>
      <c r="H575" s="91">
        <v>0</v>
      </c>
      <c r="I575" s="91">
        <v>0</v>
      </c>
      <c r="J575" s="91">
        <v>0</v>
      </c>
      <c r="K575" s="91">
        <v>0</v>
      </c>
      <c r="L575" s="91">
        <v>0</v>
      </c>
      <c r="M575" s="91">
        <v>0</v>
      </c>
      <c r="N575" s="91">
        <v>0</v>
      </c>
      <c r="O575" s="91">
        <v>0</v>
      </c>
      <c r="P575" s="91">
        <v>0</v>
      </c>
      <c r="Q575" s="91">
        <v>0</v>
      </c>
      <c r="R575" s="91">
        <v>0</v>
      </c>
      <c r="S575" s="91">
        <v>0</v>
      </c>
      <c r="T575" s="91">
        <v>0</v>
      </c>
      <c r="U575" s="91">
        <v>0</v>
      </c>
      <c r="V575" s="202">
        <v>0</v>
      </c>
      <c r="W575" s="91">
        <v>0</v>
      </c>
      <c r="X575" s="91">
        <v>0</v>
      </c>
      <c r="Y575" s="91">
        <v>0</v>
      </c>
      <c r="Z575" s="91">
        <v>0</v>
      </c>
      <c r="AA575" s="91">
        <v>0</v>
      </c>
      <c r="AB575" s="91">
        <v>0</v>
      </c>
      <c r="AC575" s="91">
        <v>0</v>
      </c>
      <c r="AD575" s="91">
        <v>0</v>
      </c>
      <c r="AE575" s="91">
        <v>0</v>
      </c>
      <c r="AF575" s="91">
        <v>0</v>
      </c>
      <c r="AG575" s="91">
        <v>0</v>
      </c>
      <c r="AH575" s="84">
        <v>1</v>
      </c>
      <c r="AI575" s="97">
        <f t="shared" si="8"/>
        <v>0</v>
      </c>
    </row>
    <row r="576" spans="1:35">
      <c r="A576" s="55" t="s">
        <v>741</v>
      </c>
      <c r="B576" s="91">
        <v>0</v>
      </c>
      <c r="C576" s="91">
        <v>0</v>
      </c>
      <c r="D576" s="91">
        <v>0</v>
      </c>
      <c r="E576" s="90">
        <v>0</v>
      </c>
      <c r="F576" s="91">
        <v>0</v>
      </c>
      <c r="G576" s="91">
        <v>0</v>
      </c>
      <c r="H576" s="91">
        <v>0</v>
      </c>
      <c r="I576" s="91">
        <v>0</v>
      </c>
      <c r="J576" s="91">
        <v>0</v>
      </c>
      <c r="K576" s="91">
        <v>0</v>
      </c>
      <c r="L576" s="91">
        <v>0</v>
      </c>
      <c r="M576" s="91">
        <v>0</v>
      </c>
      <c r="N576" s="91">
        <v>0</v>
      </c>
      <c r="O576" s="91">
        <v>0</v>
      </c>
      <c r="P576" s="91">
        <v>0</v>
      </c>
      <c r="Q576" s="91">
        <v>0</v>
      </c>
      <c r="R576" s="91">
        <v>0</v>
      </c>
      <c r="S576" s="91">
        <v>0</v>
      </c>
      <c r="T576" s="91">
        <v>0</v>
      </c>
      <c r="U576" s="91">
        <v>0</v>
      </c>
      <c r="V576" s="202">
        <v>0</v>
      </c>
      <c r="W576" s="91">
        <v>0</v>
      </c>
      <c r="X576" s="91">
        <v>0</v>
      </c>
      <c r="Y576" s="91">
        <v>0</v>
      </c>
      <c r="Z576" s="91">
        <v>0</v>
      </c>
      <c r="AA576" s="91">
        <v>0</v>
      </c>
      <c r="AB576" s="91">
        <v>0</v>
      </c>
      <c r="AC576" s="91">
        <v>0</v>
      </c>
      <c r="AD576" s="91">
        <v>0</v>
      </c>
      <c r="AE576" s="91">
        <v>0</v>
      </c>
      <c r="AF576" s="91">
        <v>0</v>
      </c>
      <c r="AG576" s="91">
        <v>0</v>
      </c>
      <c r="AH576" s="84">
        <v>1</v>
      </c>
      <c r="AI576" s="97">
        <f t="shared" si="8"/>
        <v>0</v>
      </c>
    </row>
    <row r="577" spans="1:35">
      <c r="A577" s="55" t="s">
        <v>742</v>
      </c>
      <c r="B577" s="91">
        <v>0</v>
      </c>
      <c r="C577" s="91">
        <v>0</v>
      </c>
      <c r="D577" s="91">
        <v>4</v>
      </c>
      <c r="E577" s="90">
        <v>4</v>
      </c>
      <c r="F577" s="91">
        <v>1124</v>
      </c>
      <c r="G577" s="91">
        <v>158</v>
      </c>
      <c r="H577" s="91">
        <v>1034</v>
      </c>
      <c r="I577" s="91">
        <v>1.1400000000000006</v>
      </c>
      <c r="J577" s="91">
        <v>-68</v>
      </c>
      <c r="K577" s="91">
        <v>1227</v>
      </c>
      <c r="L577" s="91">
        <v>1065</v>
      </c>
      <c r="M577" s="91">
        <v>1025</v>
      </c>
      <c r="N577" s="91">
        <v>1299</v>
      </c>
      <c r="O577" s="91">
        <v>1011</v>
      </c>
      <c r="P577" s="91">
        <v>34</v>
      </c>
      <c r="Q577" s="91">
        <v>0</v>
      </c>
      <c r="R577" s="91">
        <v>0</v>
      </c>
      <c r="S577" s="91">
        <v>-79</v>
      </c>
      <c r="T577" s="91">
        <v>0</v>
      </c>
      <c r="U577" s="91">
        <v>0</v>
      </c>
      <c r="V577" s="202">
        <v>0</v>
      </c>
      <c r="W577" s="91">
        <v>-11</v>
      </c>
      <c r="X577" s="91">
        <v>0</v>
      </c>
      <c r="Y577" s="91">
        <v>68</v>
      </c>
      <c r="Z577" s="91">
        <v>0</v>
      </c>
      <c r="AA577" s="91">
        <v>0</v>
      </c>
      <c r="AB577" s="91">
        <v>-11</v>
      </c>
      <c r="AC577" s="91">
        <v>-11</v>
      </c>
      <c r="AD577" s="91">
        <v>-11</v>
      </c>
      <c r="AE577" s="91">
        <v>-11</v>
      </c>
      <c r="AF577" s="91">
        <v>-11</v>
      </c>
      <c r="AG577" s="91">
        <v>-13</v>
      </c>
      <c r="AH577" s="84">
        <v>7.3</v>
      </c>
      <c r="AI577" s="97">
        <f t="shared" si="8"/>
        <v>966</v>
      </c>
    </row>
    <row r="578" spans="1:35">
      <c r="A578" s="55" t="s">
        <v>743</v>
      </c>
      <c r="B578" s="91">
        <v>0</v>
      </c>
      <c r="C578" s="91">
        <v>0</v>
      </c>
      <c r="D578" s="91">
        <v>1</v>
      </c>
      <c r="E578" s="90">
        <v>1</v>
      </c>
      <c r="F578" s="91">
        <v>2637</v>
      </c>
      <c r="G578" s="91">
        <v>2568</v>
      </c>
      <c r="H578" s="91">
        <v>337</v>
      </c>
      <c r="I578" s="91">
        <v>0</v>
      </c>
      <c r="J578" s="91">
        <v>-268</v>
      </c>
      <c r="K578" s="91">
        <v>3077</v>
      </c>
      <c r="L578" s="91">
        <v>2223</v>
      </c>
      <c r="M578" s="91">
        <v>2018</v>
      </c>
      <c r="N578" s="91">
        <v>3460</v>
      </c>
      <c r="O578" s="91">
        <v>271</v>
      </c>
      <c r="P578" s="91">
        <v>83</v>
      </c>
      <c r="Q578" s="91">
        <v>0</v>
      </c>
      <c r="R578" s="91">
        <v>0</v>
      </c>
      <c r="S578" s="91">
        <v>-285</v>
      </c>
      <c r="T578" s="91">
        <v>0</v>
      </c>
      <c r="U578" s="91">
        <v>0</v>
      </c>
      <c r="V578" s="202">
        <v>0</v>
      </c>
      <c r="W578" s="91">
        <v>-17</v>
      </c>
      <c r="X578" s="91">
        <v>0</v>
      </c>
      <c r="Y578" s="91">
        <v>268</v>
      </c>
      <c r="Z578" s="91">
        <v>0</v>
      </c>
      <c r="AA578" s="91">
        <v>0</v>
      </c>
      <c r="AB578" s="91">
        <v>-17</v>
      </c>
      <c r="AC578" s="91">
        <v>-17</v>
      </c>
      <c r="AD578" s="91">
        <v>-17</v>
      </c>
      <c r="AE578" s="91">
        <v>-17</v>
      </c>
      <c r="AF578" s="91">
        <v>-17</v>
      </c>
      <c r="AG578" s="91">
        <v>-183</v>
      </c>
      <c r="AH578" s="84">
        <v>16.3</v>
      </c>
      <c r="AI578" s="97">
        <f t="shared" si="8"/>
        <v>69</v>
      </c>
    </row>
    <row r="579" spans="1:35">
      <c r="A579" s="55" t="s">
        <v>744</v>
      </c>
      <c r="B579" s="91">
        <v>0</v>
      </c>
      <c r="C579" s="91">
        <v>0</v>
      </c>
      <c r="D579" s="91">
        <v>3</v>
      </c>
      <c r="E579" s="90">
        <v>3</v>
      </c>
      <c r="F579" s="91">
        <v>6828</v>
      </c>
      <c r="G579" s="91">
        <v>6145</v>
      </c>
      <c r="H579" s="91">
        <v>928</v>
      </c>
      <c r="I579" s="91">
        <v>4.0000000000000924E-2</v>
      </c>
      <c r="J579" s="91">
        <v>-245</v>
      </c>
      <c r="K579" s="91">
        <v>7263</v>
      </c>
      <c r="L579" s="91">
        <v>6401</v>
      </c>
      <c r="M579" s="91">
        <v>6100</v>
      </c>
      <c r="N579" s="91">
        <v>7653</v>
      </c>
      <c r="O579" s="91">
        <v>756</v>
      </c>
      <c r="P579" s="91">
        <v>202</v>
      </c>
      <c r="Q579" s="91">
        <v>0</v>
      </c>
      <c r="R579" s="91">
        <v>0</v>
      </c>
      <c r="S579" s="91">
        <v>-275</v>
      </c>
      <c r="T579" s="91">
        <v>0</v>
      </c>
      <c r="U579" s="91">
        <v>0</v>
      </c>
      <c r="V579" s="202">
        <v>0</v>
      </c>
      <c r="W579" s="91">
        <v>-30</v>
      </c>
      <c r="X579" s="91">
        <v>0</v>
      </c>
      <c r="Y579" s="91">
        <v>245</v>
      </c>
      <c r="Z579" s="91">
        <v>0</v>
      </c>
      <c r="AA579" s="91">
        <v>0</v>
      </c>
      <c r="AB579" s="91">
        <v>-30</v>
      </c>
      <c r="AC579" s="91">
        <v>-30</v>
      </c>
      <c r="AD579" s="91">
        <v>-30</v>
      </c>
      <c r="AE579" s="91">
        <v>-30</v>
      </c>
      <c r="AF579" s="91">
        <v>-30</v>
      </c>
      <c r="AG579" s="91">
        <v>-95</v>
      </c>
      <c r="AH579" s="84">
        <v>9.1999999999999993</v>
      </c>
      <c r="AI579" s="97">
        <f t="shared" si="8"/>
        <v>683</v>
      </c>
    </row>
    <row r="580" spans="1:35">
      <c r="A580" s="55" t="s">
        <v>745</v>
      </c>
      <c r="B580" s="91">
        <v>0</v>
      </c>
      <c r="C580" s="91">
        <v>0</v>
      </c>
      <c r="D580" s="91">
        <v>9</v>
      </c>
      <c r="E580" s="90">
        <v>11</v>
      </c>
      <c r="F580" s="91">
        <v>20087</v>
      </c>
      <c r="G580" s="91">
        <v>18072</v>
      </c>
      <c r="H580" s="91">
        <v>2255</v>
      </c>
      <c r="I580" s="91">
        <v>641.24</v>
      </c>
      <c r="J580" s="91">
        <v>-240</v>
      </c>
      <c r="K580" s="91">
        <v>20565</v>
      </c>
      <c r="L580" s="91">
        <v>19609</v>
      </c>
      <c r="M580" s="91">
        <v>18868</v>
      </c>
      <c r="N580" s="91">
        <v>21457</v>
      </c>
      <c r="O580" s="91">
        <v>1747</v>
      </c>
      <c r="P580" s="91">
        <v>579</v>
      </c>
      <c r="Q580" s="91">
        <v>0</v>
      </c>
      <c r="R580" s="91">
        <v>0</v>
      </c>
      <c r="S580" s="91">
        <v>-311</v>
      </c>
      <c r="T580" s="91">
        <v>0</v>
      </c>
      <c r="U580" s="91">
        <v>0</v>
      </c>
      <c r="V580" s="202">
        <v>0</v>
      </c>
      <c r="W580" s="91">
        <v>-71</v>
      </c>
      <c r="X580" s="91">
        <v>0</v>
      </c>
      <c r="Y580" s="91">
        <v>240</v>
      </c>
      <c r="Z580" s="91">
        <v>0</v>
      </c>
      <c r="AA580" s="91">
        <v>0</v>
      </c>
      <c r="AB580" s="91">
        <v>-71</v>
      </c>
      <c r="AC580" s="91">
        <v>-71</v>
      </c>
      <c r="AD580" s="91">
        <v>-71</v>
      </c>
      <c r="AE580" s="91">
        <v>-27</v>
      </c>
      <c r="AF580" s="91">
        <v>0</v>
      </c>
      <c r="AG580" s="91">
        <v>0</v>
      </c>
      <c r="AH580" s="84">
        <v>4.4000000000000004</v>
      </c>
      <c r="AI580" s="97">
        <f t="shared" si="8"/>
        <v>2015</v>
      </c>
    </row>
    <row r="581" spans="1:35">
      <c r="A581" s="55" t="s">
        <v>746</v>
      </c>
      <c r="B581" s="91">
        <v>0</v>
      </c>
      <c r="C581" s="91">
        <v>0</v>
      </c>
      <c r="D581" s="91">
        <v>0</v>
      </c>
      <c r="E581" s="90">
        <v>0</v>
      </c>
      <c r="F581" s="91">
        <v>0</v>
      </c>
      <c r="G581" s="91">
        <v>0</v>
      </c>
      <c r="H581" s="91">
        <v>0</v>
      </c>
      <c r="I581" s="91">
        <v>0</v>
      </c>
      <c r="J581" s="91">
        <v>0</v>
      </c>
      <c r="K581" s="91">
        <v>0</v>
      </c>
      <c r="L581" s="91">
        <v>0</v>
      </c>
      <c r="M581" s="91">
        <v>0</v>
      </c>
      <c r="N581" s="91">
        <v>0</v>
      </c>
      <c r="O581" s="91">
        <v>0</v>
      </c>
      <c r="P581" s="91">
        <v>0</v>
      </c>
      <c r="Q581" s="91">
        <v>0</v>
      </c>
      <c r="R581" s="91">
        <v>0</v>
      </c>
      <c r="S581" s="91">
        <v>0</v>
      </c>
      <c r="T581" s="91">
        <v>0</v>
      </c>
      <c r="U581" s="91">
        <v>0</v>
      </c>
      <c r="V581" s="202">
        <v>0</v>
      </c>
      <c r="W581" s="91">
        <v>0</v>
      </c>
      <c r="X581" s="91">
        <v>0</v>
      </c>
      <c r="Y581" s="91">
        <v>0</v>
      </c>
      <c r="Z581" s="91">
        <v>0</v>
      </c>
      <c r="AA581" s="91">
        <v>0</v>
      </c>
      <c r="AB581" s="91">
        <v>0</v>
      </c>
      <c r="AC581" s="91">
        <v>0</v>
      </c>
      <c r="AD581" s="91">
        <v>0</v>
      </c>
      <c r="AE581" s="91">
        <v>0</v>
      </c>
      <c r="AF581" s="91">
        <v>0</v>
      </c>
      <c r="AG581" s="91">
        <v>0</v>
      </c>
      <c r="AH581" s="84">
        <v>1</v>
      </c>
      <c r="AI581" s="97">
        <f t="shared" ref="AI581" si="9">O581+P581+Q581+R581+S581-T581</f>
        <v>0</v>
      </c>
    </row>
    <row r="582" spans="1:35">
      <c r="A582" s="56" t="s">
        <v>747</v>
      </c>
      <c r="B582" s="92">
        <v>215</v>
      </c>
      <c r="C582" s="92">
        <v>0</v>
      </c>
      <c r="D582" s="92">
        <v>17260</v>
      </c>
      <c r="E582" s="92">
        <v>18807</v>
      </c>
      <c r="F582" s="92">
        <v>65498710</v>
      </c>
      <c r="G582" s="92">
        <v>63590873</v>
      </c>
      <c r="H582" s="92">
        <v>6645870</v>
      </c>
      <c r="I582" s="92">
        <v>2049522.4899999998</v>
      </c>
      <c r="J582" s="92">
        <v>-2976058</v>
      </c>
      <c r="K582" s="93">
        <v>70759151</v>
      </c>
      <c r="L582" s="93">
        <v>60544023</v>
      </c>
      <c r="M582" s="93">
        <v>57686549</v>
      </c>
      <c r="N582" s="93">
        <v>74809523</v>
      </c>
      <c r="O582" s="93">
        <v>5027070</v>
      </c>
      <c r="P582" s="93">
        <v>1977916</v>
      </c>
      <c r="Q582" s="93">
        <v>0</v>
      </c>
      <c r="R582" s="93">
        <v>0</v>
      </c>
      <c r="S582" s="93">
        <v>-3335174</v>
      </c>
      <c r="T582" s="93">
        <v>1761975</v>
      </c>
      <c r="U582" s="93">
        <v>0</v>
      </c>
      <c r="V582" s="201">
        <v>0</v>
      </c>
      <c r="W582" s="93">
        <v>-359116</v>
      </c>
      <c r="X582" s="93">
        <v>0</v>
      </c>
      <c r="Y582" s="93">
        <v>2976118</v>
      </c>
      <c r="Z582" s="93">
        <v>0</v>
      </c>
      <c r="AA582" s="93">
        <v>60</v>
      </c>
      <c r="AB582" s="93">
        <v>-358366</v>
      </c>
      <c r="AC582" s="93">
        <v>-358355</v>
      </c>
      <c r="AD582" s="93">
        <v>-358322</v>
      </c>
      <c r="AE582" s="93">
        <v>-358166</v>
      </c>
      <c r="AF582" s="93">
        <v>-357931</v>
      </c>
      <c r="AG582" s="93">
        <v>-1184918</v>
      </c>
      <c r="AH582" s="83"/>
    </row>
  </sheetData>
  <sheetProtection password="C4C7" sheet="1" objects="1" scenarios="1"/>
  <mergeCells count="12">
    <mergeCell ref="A2:A3"/>
    <mergeCell ref="AH2:AH3"/>
    <mergeCell ref="B2:E2"/>
    <mergeCell ref="F2:F3"/>
    <mergeCell ref="G2:G3"/>
    <mergeCell ref="H2:H3"/>
    <mergeCell ref="K2:N2"/>
    <mergeCell ref="O2:T2"/>
    <mergeCell ref="U2:W2"/>
    <mergeCell ref="X2:Y2"/>
    <mergeCell ref="Z2:AA2"/>
    <mergeCell ref="AB2:A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9"/>
  <sheetViews>
    <sheetView topLeftCell="A24" workbookViewId="0">
      <selection activeCell="E35" sqref="E35"/>
    </sheetView>
  </sheetViews>
  <sheetFormatPr defaultRowHeight="15"/>
  <cols>
    <col min="1" max="1" width="31.5703125" customWidth="1"/>
    <col min="10" max="10" width="13.42578125" bestFit="1" customWidth="1"/>
    <col min="21" max="21" width="9.140625" style="217"/>
  </cols>
  <sheetData>
    <row r="1" spans="1:34" s="217" customFormat="1">
      <c r="A1" s="217">
        <v>1</v>
      </c>
      <c r="B1" s="217">
        <v>2</v>
      </c>
      <c r="C1" s="217">
        <v>3</v>
      </c>
      <c r="D1" s="217">
        <v>4</v>
      </c>
      <c r="E1" s="217">
        <v>5</v>
      </c>
      <c r="F1" s="217">
        <v>6</v>
      </c>
      <c r="G1" s="217">
        <v>7</v>
      </c>
      <c r="H1" s="217">
        <v>8</v>
      </c>
      <c r="I1" s="217">
        <v>9</v>
      </c>
      <c r="J1" s="217">
        <v>10</v>
      </c>
      <c r="K1" s="217">
        <v>11</v>
      </c>
      <c r="L1" s="217">
        <v>12</v>
      </c>
      <c r="M1" s="217">
        <v>13</v>
      </c>
      <c r="N1" s="217">
        <v>14</v>
      </c>
      <c r="O1" s="217">
        <v>15</v>
      </c>
      <c r="P1" s="217">
        <v>16</v>
      </c>
      <c r="Q1" s="217">
        <v>17</v>
      </c>
      <c r="R1" s="217">
        <v>18</v>
      </c>
      <c r="S1" s="217">
        <v>19</v>
      </c>
      <c r="T1" s="217">
        <v>20</v>
      </c>
      <c r="U1" s="217">
        <v>21</v>
      </c>
      <c r="V1" s="217">
        <v>22</v>
      </c>
      <c r="W1" s="217">
        <v>23</v>
      </c>
      <c r="X1" s="217">
        <v>24</v>
      </c>
      <c r="Y1" s="217">
        <v>25</v>
      </c>
      <c r="Z1" s="217">
        <v>26</v>
      </c>
      <c r="AA1" s="217">
        <v>27</v>
      </c>
      <c r="AB1" s="217">
        <v>28</v>
      </c>
      <c r="AC1" s="217">
        <v>29</v>
      </c>
      <c r="AD1" s="217">
        <v>30</v>
      </c>
      <c r="AE1" s="217">
        <v>31</v>
      </c>
      <c r="AF1" s="217">
        <v>32</v>
      </c>
      <c r="AG1" s="217">
        <v>33</v>
      </c>
    </row>
    <row r="2" spans="1:34">
      <c r="A2" s="218"/>
      <c r="B2" s="214" t="s">
        <v>763</v>
      </c>
      <c r="C2" s="213"/>
      <c r="D2" s="212"/>
      <c r="E2" s="187" t="s">
        <v>764</v>
      </c>
      <c r="F2" s="211" t="s">
        <v>765</v>
      </c>
      <c r="G2" s="189" t="s">
        <v>766</v>
      </c>
      <c r="H2" s="219"/>
      <c r="I2" s="219"/>
      <c r="J2" s="194" t="s">
        <v>767</v>
      </c>
      <c r="K2" s="195"/>
      <c r="L2" s="195"/>
      <c r="M2" s="196"/>
      <c r="N2" s="194" t="s">
        <v>768</v>
      </c>
      <c r="O2" s="195"/>
      <c r="P2" s="195"/>
      <c r="Q2" s="195"/>
      <c r="R2" s="195"/>
      <c r="S2" s="196"/>
      <c r="T2" s="194" t="s">
        <v>769</v>
      </c>
      <c r="U2" s="195"/>
      <c r="V2" s="196"/>
      <c r="W2" s="194" t="s">
        <v>770</v>
      </c>
      <c r="X2" s="196"/>
      <c r="Y2" s="194" t="s">
        <v>771</v>
      </c>
      <c r="Z2" s="196"/>
      <c r="AA2" s="194" t="s">
        <v>772</v>
      </c>
      <c r="AB2" s="195"/>
      <c r="AC2" s="195"/>
      <c r="AD2" s="195"/>
      <c r="AE2" s="195"/>
      <c r="AF2" s="196"/>
      <c r="AG2" s="216" t="s">
        <v>773</v>
      </c>
    </row>
    <row r="3" spans="1:34" ht="71.25">
      <c r="A3" s="220" t="s">
        <v>842</v>
      </c>
      <c r="B3" s="221" t="s">
        <v>843</v>
      </c>
      <c r="C3" s="221" t="s">
        <v>844</v>
      </c>
      <c r="D3" s="222" t="s">
        <v>845</v>
      </c>
      <c r="E3" s="188"/>
      <c r="F3" s="210"/>
      <c r="G3" s="190"/>
      <c r="H3" s="221" t="s">
        <v>778</v>
      </c>
      <c r="I3" s="221" t="s">
        <v>779</v>
      </c>
      <c r="J3" s="221" t="s">
        <v>780</v>
      </c>
      <c r="K3" s="221" t="s">
        <v>781</v>
      </c>
      <c r="L3" s="221" t="s">
        <v>782</v>
      </c>
      <c r="M3" s="221" t="s">
        <v>783</v>
      </c>
      <c r="N3" s="222" t="s">
        <v>784</v>
      </c>
      <c r="O3" s="222" t="s">
        <v>107</v>
      </c>
      <c r="P3" s="222" t="s">
        <v>785</v>
      </c>
      <c r="Q3" s="222" t="s">
        <v>786</v>
      </c>
      <c r="R3" s="222" t="s">
        <v>787</v>
      </c>
      <c r="S3" s="222" t="s">
        <v>788</v>
      </c>
      <c r="T3" s="222" t="s">
        <v>789</v>
      </c>
      <c r="U3" s="222" t="s">
        <v>896</v>
      </c>
      <c r="V3" s="222" t="s">
        <v>790</v>
      </c>
      <c r="W3" s="222" t="s">
        <v>786</v>
      </c>
      <c r="X3" s="222" t="s">
        <v>791</v>
      </c>
      <c r="Y3" s="222" t="s">
        <v>786</v>
      </c>
      <c r="Z3" s="222" t="s">
        <v>791</v>
      </c>
      <c r="AA3" s="222" t="s">
        <v>792</v>
      </c>
      <c r="AB3" s="222" t="s">
        <v>793</v>
      </c>
      <c r="AC3" s="222" t="s">
        <v>794</v>
      </c>
      <c r="AD3" s="222" t="s">
        <v>795</v>
      </c>
      <c r="AE3" s="222" t="s">
        <v>796</v>
      </c>
      <c r="AF3" s="222" t="s">
        <v>98</v>
      </c>
      <c r="AG3" s="215"/>
      <c r="AH3" s="96" t="s">
        <v>802</v>
      </c>
    </row>
    <row r="4" spans="1:34">
      <c r="A4" s="223" t="s">
        <v>846</v>
      </c>
      <c r="B4" s="224">
        <v>1</v>
      </c>
      <c r="C4" s="224">
        <v>0</v>
      </c>
      <c r="D4" s="223">
        <v>50</v>
      </c>
      <c r="E4" s="224">
        <v>48261</v>
      </c>
      <c r="F4" s="224">
        <v>50243</v>
      </c>
      <c r="G4" s="224">
        <v>3460</v>
      </c>
      <c r="H4" s="224">
        <v>525</v>
      </c>
      <c r="I4" s="224">
        <v>-4992</v>
      </c>
      <c r="J4" s="224">
        <v>57342</v>
      </c>
      <c r="K4" s="224">
        <v>40829</v>
      </c>
      <c r="L4" s="224">
        <v>48261</v>
      </c>
      <c r="M4" s="224">
        <v>48261</v>
      </c>
      <c r="N4" s="224">
        <v>2549</v>
      </c>
      <c r="O4" s="224">
        <v>1535</v>
      </c>
      <c r="P4" s="224">
        <v>0</v>
      </c>
      <c r="Q4" s="224">
        <v>0</v>
      </c>
      <c r="R4" s="224">
        <v>-5616</v>
      </c>
      <c r="S4" s="224">
        <v>-450</v>
      </c>
      <c r="T4" s="224">
        <v>0</v>
      </c>
      <c r="U4" s="224"/>
      <c r="V4" s="224">
        <v>-624</v>
      </c>
      <c r="W4" s="224">
        <v>0</v>
      </c>
      <c r="X4" s="224">
        <v>4992</v>
      </c>
      <c r="Y4" s="224">
        <v>0</v>
      </c>
      <c r="Z4" s="224">
        <v>0</v>
      </c>
      <c r="AA4" s="224">
        <v>-624</v>
      </c>
      <c r="AB4" s="224">
        <v>-624</v>
      </c>
      <c r="AC4" s="224">
        <v>-624</v>
      </c>
      <c r="AD4" s="224">
        <v>-624</v>
      </c>
      <c r="AE4" s="224">
        <v>-624</v>
      </c>
      <c r="AF4" s="224">
        <v>-1872</v>
      </c>
      <c r="AG4" s="225">
        <v>9</v>
      </c>
      <c r="AH4" s="97">
        <f>N4+O4+P4+Q4+R4+S4</f>
        <v>-1982</v>
      </c>
    </row>
    <row r="5" spans="1:34">
      <c r="A5" s="223" t="s">
        <v>847</v>
      </c>
      <c r="B5" s="224">
        <v>0</v>
      </c>
      <c r="C5" s="224">
        <v>0</v>
      </c>
      <c r="D5" s="223">
        <v>13</v>
      </c>
      <c r="E5" s="224">
        <v>15093</v>
      </c>
      <c r="F5" s="224">
        <v>15197</v>
      </c>
      <c r="G5" s="224">
        <v>1139</v>
      </c>
      <c r="H5" s="224">
        <v>0</v>
      </c>
      <c r="I5" s="224">
        <v>-1243</v>
      </c>
      <c r="J5" s="224">
        <v>17351</v>
      </c>
      <c r="K5" s="224">
        <v>13192</v>
      </c>
      <c r="L5" s="224">
        <v>15093</v>
      </c>
      <c r="M5" s="224">
        <v>15093</v>
      </c>
      <c r="N5" s="224">
        <v>832</v>
      </c>
      <c r="O5" s="224">
        <v>468</v>
      </c>
      <c r="P5" s="224">
        <v>0</v>
      </c>
      <c r="Q5" s="224">
        <v>0</v>
      </c>
      <c r="R5" s="224">
        <v>-1404</v>
      </c>
      <c r="S5" s="224">
        <v>0</v>
      </c>
      <c r="T5" s="224">
        <v>0</v>
      </c>
      <c r="U5" s="224"/>
      <c r="V5" s="224">
        <v>-161</v>
      </c>
      <c r="W5" s="224">
        <v>0</v>
      </c>
      <c r="X5" s="224">
        <v>1243</v>
      </c>
      <c r="Y5" s="224">
        <v>0</v>
      </c>
      <c r="Z5" s="224">
        <v>0</v>
      </c>
      <c r="AA5" s="224">
        <v>-161</v>
      </c>
      <c r="AB5" s="224">
        <v>-161</v>
      </c>
      <c r="AC5" s="224">
        <v>-161</v>
      </c>
      <c r="AD5" s="224">
        <v>-161</v>
      </c>
      <c r="AE5" s="224">
        <v>-161</v>
      </c>
      <c r="AF5" s="224">
        <v>-438</v>
      </c>
      <c r="AG5" s="225">
        <v>8.6999999999999993</v>
      </c>
      <c r="AH5" s="97">
        <f t="shared" ref="AH5:AH48" si="0">N5+O5+P5+Q5+R5+S5</f>
        <v>-104</v>
      </c>
    </row>
    <row r="6" spans="1:34">
      <c r="A6" s="223" t="s">
        <v>848</v>
      </c>
      <c r="B6" s="224">
        <v>5</v>
      </c>
      <c r="C6" s="224">
        <v>0</v>
      </c>
      <c r="D6" s="223">
        <v>119</v>
      </c>
      <c r="E6" s="224">
        <v>146806</v>
      </c>
      <c r="F6" s="224">
        <v>155913</v>
      </c>
      <c r="G6" s="224">
        <v>8415</v>
      </c>
      <c r="H6" s="224">
        <v>2987.5</v>
      </c>
      <c r="I6" s="224">
        <v>-14522</v>
      </c>
      <c r="J6" s="224">
        <v>173296</v>
      </c>
      <c r="K6" s="224">
        <v>125048</v>
      </c>
      <c r="L6" s="224">
        <v>146806</v>
      </c>
      <c r="M6" s="224">
        <v>146806</v>
      </c>
      <c r="N6" s="224">
        <v>5516</v>
      </c>
      <c r="O6" s="224">
        <v>4670</v>
      </c>
      <c r="P6" s="224">
        <v>0</v>
      </c>
      <c r="Q6" s="224">
        <v>0</v>
      </c>
      <c r="R6" s="224">
        <v>-16293</v>
      </c>
      <c r="S6" s="224">
        <v>-3000</v>
      </c>
      <c r="T6" s="224">
        <v>0</v>
      </c>
      <c r="U6" s="224"/>
      <c r="V6" s="224">
        <v>-1771</v>
      </c>
      <c r="W6" s="224">
        <v>0</v>
      </c>
      <c r="X6" s="224">
        <v>14522</v>
      </c>
      <c r="Y6" s="224">
        <v>0</v>
      </c>
      <c r="Z6" s="224">
        <v>0</v>
      </c>
      <c r="AA6" s="224">
        <v>-1771</v>
      </c>
      <c r="AB6" s="224">
        <v>-1771</v>
      </c>
      <c r="AC6" s="224">
        <v>-1771</v>
      </c>
      <c r="AD6" s="224">
        <v>-1771</v>
      </c>
      <c r="AE6" s="224">
        <v>-1771</v>
      </c>
      <c r="AF6" s="224">
        <v>-5667</v>
      </c>
      <c r="AG6" s="225">
        <v>9.1999999999999993</v>
      </c>
      <c r="AH6" s="97">
        <f t="shared" si="0"/>
        <v>-9107</v>
      </c>
    </row>
    <row r="7" spans="1:34">
      <c r="A7" s="223" t="s">
        <v>849</v>
      </c>
      <c r="B7" s="224">
        <v>11</v>
      </c>
      <c r="C7" s="224">
        <v>4</v>
      </c>
      <c r="D7" s="223">
        <v>246</v>
      </c>
      <c r="E7" s="224">
        <v>288619</v>
      </c>
      <c r="F7" s="224">
        <v>301932</v>
      </c>
      <c r="G7" s="224">
        <v>17493</v>
      </c>
      <c r="H7" s="224">
        <v>4762.5</v>
      </c>
      <c r="I7" s="224">
        <v>-26156</v>
      </c>
      <c r="J7" s="224">
        <v>336438</v>
      </c>
      <c r="K7" s="224">
        <v>248917</v>
      </c>
      <c r="L7" s="224">
        <v>288619</v>
      </c>
      <c r="M7" s="224">
        <v>288619</v>
      </c>
      <c r="N7" s="224">
        <v>11797</v>
      </c>
      <c r="O7" s="224">
        <v>9093</v>
      </c>
      <c r="P7" s="224">
        <v>0</v>
      </c>
      <c r="Q7" s="224">
        <v>0</v>
      </c>
      <c r="R7" s="224">
        <v>-29553</v>
      </c>
      <c r="S7" s="224">
        <v>-4650</v>
      </c>
      <c r="T7" s="224">
        <v>0</v>
      </c>
      <c r="U7" s="224"/>
      <c r="V7" s="224">
        <v>-3397</v>
      </c>
      <c r="W7" s="224">
        <v>0</v>
      </c>
      <c r="X7" s="224">
        <v>26156</v>
      </c>
      <c r="Y7" s="224">
        <v>0</v>
      </c>
      <c r="Z7" s="224">
        <v>0</v>
      </c>
      <c r="AA7" s="224">
        <v>-3397</v>
      </c>
      <c r="AB7" s="224">
        <v>-3397</v>
      </c>
      <c r="AC7" s="224">
        <v>-3397</v>
      </c>
      <c r="AD7" s="224">
        <v>-3397</v>
      </c>
      <c r="AE7" s="224">
        <v>-3397</v>
      </c>
      <c r="AF7" s="224">
        <v>-9171</v>
      </c>
      <c r="AG7" s="225">
        <v>8.6999999999999993</v>
      </c>
      <c r="AH7" s="97">
        <f t="shared" si="0"/>
        <v>-13313</v>
      </c>
    </row>
    <row r="8" spans="1:34">
      <c r="A8" s="223" t="s">
        <v>850</v>
      </c>
      <c r="B8" s="224">
        <v>0</v>
      </c>
      <c r="C8" s="224">
        <v>0</v>
      </c>
      <c r="D8" s="223">
        <v>6</v>
      </c>
      <c r="E8" s="224">
        <v>4187</v>
      </c>
      <c r="F8" s="224">
        <v>4204</v>
      </c>
      <c r="G8" s="224">
        <v>325</v>
      </c>
      <c r="H8" s="224">
        <v>25</v>
      </c>
      <c r="I8" s="224">
        <v>-342</v>
      </c>
      <c r="J8" s="224">
        <v>4828</v>
      </c>
      <c r="K8" s="224">
        <v>3657</v>
      </c>
      <c r="L8" s="224">
        <v>4187</v>
      </c>
      <c r="M8" s="224">
        <v>4187</v>
      </c>
      <c r="N8" s="224">
        <v>242</v>
      </c>
      <c r="O8" s="224">
        <v>130</v>
      </c>
      <c r="P8" s="224">
        <v>0</v>
      </c>
      <c r="Q8" s="224">
        <v>0</v>
      </c>
      <c r="R8" s="224">
        <v>-389</v>
      </c>
      <c r="S8" s="224">
        <v>0</v>
      </c>
      <c r="T8" s="224">
        <v>0</v>
      </c>
      <c r="U8" s="224"/>
      <c r="V8" s="224">
        <v>-47</v>
      </c>
      <c r="W8" s="224">
        <v>0</v>
      </c>
      <c r="X8" s="224">
        <v>342</v>
      </c>
      <c r="Y8" s="224">
        <v>0</v>
      </c>
      <c r="Z8" s="224">
        <v>0</v>
      </c>
      <c r="AA8" s="224">
        <v>-47</v>
      </c>
      <c r="AB8" s="224">
        <v>-47</v>
      </c>
      <c r="AC8" s="224">
        <v>-47</v>
      </c>
      <c r="AD8" s="224">
        <v>-47</v>
      </c>
      <c r="AE8" s="224">
        <v>-47</v>
      </c>
      <c r="AF8" s="224">
        <v>-107</v>
      </c>
      <c r="AG8" s="225">
        <v>8.1999999999999993</v>
      </c>
      <c r="AH8" s="97">
        <f t="shared" si="0"/>
        <v>-17</v>
      </c>
    </row>
    <row r="9" spans="1:34">
      <c r="A9" s="223" t="s">
        <v>851</v>
      </c>
      <c r="B9" s="224">
        <v>2</v>
      </c>
      <c r="C9" s="224">
        <v>11</v>
      </c>
      <c r="D9" s="223">
        <v>153</v>
      </c>
      <c r="E9" s="224">
        <v>131336</v>
      </c>
      <c r="F9" s="224">
        <v>151490</v>
      </c>
      <c r="G9" s="224">
        <v>8697</v>
      </c>
      <c r="H9" s="224">
        <v>737.5</v>
      </c>
      <c r="I9" s="224">
        <v>-13551</v>
      </c>
      <c r="J9" s="224">
        <v>155876</v>
      </c>
      <c r="K9" s="224">
        <v>111340</v>
      </c>
      <c r="L9" s="224">
        <v>131336</v>
      </c>
      <c r="M9" s="224">
        <v>131336</v>
      </c>
      <c r="N9" s="224">
        <v>5956</v>
      </c>
      <c r="O9" s="224">
        <v>4374</v>
      </c>
      <c r="P9" s="224">
        <v>0</v>
      </c>
      <c r="Q9" s="224">
        <v>0</v>
      </c>
      <c r="R9" s="224">
        <v>-15184</v>
      </c>
      <c r="S9" s="224">
        <v>-15300</v>
      </c>
      <c r="T9" s="224">
        <v>0</v>
      </c>
      <c r="U9" s="224"/>
      <c r="V9" s="224">
        <v>-1633</v>
      </c>
      <c r="W9" s="224">
        <v>0</v>
      </c>
      <c r="X9" s="224">
        <v>13551</v>
      </c>
      <c r="Y9" s="224">
        <v>0</v>
      </c>
      <c r="Z9" s="224">
        <v>0</v>
      </c>
      <c r="AA9" s="224">
        <v>-1633</v>
      </c>
      <c r="AB9" s="224">
        <v>-1633</v>
      </c>
      <c r="AC9" s="224">
        <v>-1633</v>
      </c>
      <c r="AD9" s="224">
        <v>-1633</v>
      </c>
      <c r="AE9" s="224">
        <v>-1633</v>
      </c>
      <c r="AF9" s="224">
        <v>-5386</v>
      </c>
      <c r="AG9" s="225">
        <v>9.3000000000000007</v>
      </c>
      <c r="AH9" s="97">
        <f t="shared" si="0"/>
        <v>-20154</v>
      </c>
    </row>
    <row r="10" spans="1:34">
      <c r="A10" s="223" t="s">
        <v>852</v>
      </c>
      <c r="B10" s="224">
        <v>0</v>
      </c>
      <c r="C10" s="224">
        <v>0</v>
      </c>
      <c r="D10" s="223">
        <v>1</v>
      </c>
      <c r="E10" s="224">
        <v>609</v>
      </c>
      <c r="F10" s="224">
        <v>641</v>
      </c>
      <c r="G10" s="224">
        <v>62</v>
      </c>
      <c r="H10" s="224">
        <v>0</v>
      </c>
      <c r="I10" s="224">
        <v>-94</v>
      </c>
      <c r="J10" s="224">
        <v>786</v>
      </c>
      <c r="K10" s="224">
        <v>461</v>
      </c>
      <c r="L10" s="224">
        <v>609</v>
      </c>
      <c r="M10" s="224">
        <v>609</v>
      </c>
      <c r="N10" s="224">
        <v>49</v>
      </c>
      <c r="O10" s="224">
        <v>20</v>
      </c>
      <c r="P10" s="224">
        <v>0</v>
      </c>
      <c r="Q10" s="224">
        <v>0</v>
      </c>
      <c r="R10" s="224">
        <v>-101</v>
      </c>
      <c r="S10" s="224">
        <v>0</v>
      </c>
      <c r="T10" s="224">
        <v>0</v>
      </c>
      <c r="U10" s="224"/>
      <c r="V10" s="224">
        <v>-7</v>
      </c>
      <c r="W10" s="224">
        <v>0</v>
      </c>
      <c r="X10" s="224">
        <v>94</v>
      </c>
      <c r="Y10" s="224">
        <v>0</v>
      </c>
      <c r="Z10" s="224">
        <v>0</v>
      </c>
      <c r="AA10" s="224">
        <v>-7</v>
      </c>
      <c r="AB10" s="224">
        <v>-7</v>
      </c>
      <c r="AC10" s="224">
        <v>-7</v>
      </c>
      <c r="AD10" s="224">
        <v>-7</v>
      </c>
      <c r="AE10" s="224">
        <v>-7</v>
      </c>
      <c r="AF10" s="224">
        <v>-59</v>
      </c>
      <c r="AG10" s="225">
        <v>14.5</v>
      </c>
      <c r="AH10" s="97">
        <f t="shared" si="0"/>
        <v>-32</v>
      </c>
    </row>
    <row r="11" spans="1:34">
      <c r="A11" s="223" t="s">
        <v>853</v>
      </c>
      <c r="B11" s="224">
        <v>1</v>
      </c>
      <c r="C11" s="224">
        <v>1</v>
      </c>
      <c r="D11" s="223">
        <v>1294</v>
      </c>
      <c r="E11" s="224">
        <v>900459</v>
      </c>
      <c r="F11" s="224">
        <v>937091</v>
      </c>
      <c r="G11" s="224">
        <v>72178</v>
      </c>
      <c r="H11" s="224">
        <v>1012.5</v>
      </c>
      <c r="I11" s="224">
        <v>-108210</v>
      </c>
      <c r="J11" s="224">
        <v>1095180</v>
      </c>
      <c r="K11" s="224">
        <v>744522</v>
      </c>
      <c r="L11" s="224">
        <v>900459</v>
      </c>
      <c r="M11" s="224">
        <v>900459</v>
      </c>
      <c r="N11" s="224">
        <v>54737</v>
      </c>
      <c r="O11" s="224">
        <v>28953</v>
      </c>
      <c r="P11" s="224">
        <v>0</v>
      </c>
      <c r="Q11" s="224">
        <v>0</v>
      </c>
      <c r="R11" s="224">
        <v>-119722</v>
      </c>
      <c r="S11" s="224">
        <v>-600</v>
      </c>
      <c r="T11" s="224">
        <v>0</v>
      </c>
      <c r="U11" s="224"/>
      <c r="V11" s="224">
        <v>-11512</v>
      </c>
      <c r="W11" s="224">
        <v>0</v>
      </c>
      <c r="X11" s="224">
        <v>108210</v>
      </c>
      <c r="Y11" s="224">
        <v>0</v>
      </c>
      <c r="Z11" s="224">
        <v>0</v>
      </c>
      <c r="AA11" s="224">
        <v>-11512</v>
      </c>
      <c r="AB11" s="224">
        <v>-11512</v>
      </c>
      <c r="AC11" s="224">
        <v>-11512</v>
      </c>
      <c r="AD11" s="224">
        <v>-11512</v>
      </c>
      <c r="AE11" s="224">
        <v>-11512</v>
      </c>
      <c r="AF11" s="224">
        <v>-50650</v>
      </c>
      <c r="AG11" s="225">
        <v>10.4</v>
      </c>
      <c r="AH11" s="97">
        <f t="shared" si="0"/>
        <v>-36632</v>
      </c>
    </row>
    <row r="12" spans="1:34">
      <c r="A12" s="223" t="s">
        <v>854</v>
      </c>
      <c r="B12" s="224">
        <v>0</v>
      </c>
      <c r="C12" s="224">
        <v>0</v>
      </c>
      <c r="D12" s="223">
        <v>4</v>
      </c>
      <c r="E12" s="224">
        <v>538</v>
      </c>
      <c r="F12" s="224">
        <v>511</v>
      </c>
      <c r="G12" s="224">
        <v>102</v>
      </c>
      <c r="H12" s="224">
        <v>0</v>
      </c>
      <c r="I12" s="224">
        <v>-75</v>
      </c>
      <c r="J12" s="224">
        <v>675</v>
      </c>
      <c r="K12" s="224">
        <v>456</v>
      </c>
      <c r="L12" s="224">
        <v>538</v>
      </c>
      <c r="M12" s="224">
        <v>538</v>
      </c>
      <c r="N12" s="224">
        <v>94</v>
      </c>
      <c r="O12" s="224">
        <v>18</v>
      </c>
      <c r="P12" s="224">
        <v>0</v>
      </c>
      <c r="Q12" s="224">
        <v>0</v>
      </c>
      <c r="R12" s="224">
        <v>-85</v>
      </c>
      <c r="S12" s="224">
        <v>0</v>
      </c>
      <c r="T12" s="224">
        <v>0</v>
      </c>
      <c r="U12" s="224"/>
      <c r="V12" s="224">
        <v>-10</v>
      </c>
      <c r="W12" s="224">
        <v>0</v>
      </c>
      <c r="X12" s="224">
        <v>75</v>
      </c>
      <c r="Y12" s="224">
        <v>0</v>
      </c>
      <c r="Z12" s="224">
        <v>0</v>
      </c>
      <c r="AA12" s="224">
        <v>-10</v>
      </c>
      <c r="AB12" s="224">
        <v>-10</v>
      </c>
      <c r="AC12" s="224">
        <v>-10</v>
      </c>
      <c r="AD12" s="224">
        <v>-10</v>
      </c>
      <c r="AE12" s="224">
        <v>-10</v>
      </c>
      <c r="AF12" s="224">
        <v>-25</v>
      </c>
      <c r="AG12" s="225">
        <v>8.9</v>
      </c>
      <c r="AH12" s="97">
        <f t="shared" si="0"/>
        <v>27</v>
      </c>
    </row>
    <row r="13" spans="1:34">
      <c r="A13" s="223" t="s">
        <v>855</v>
      </c>
      <c r="B13" s="224">
        <v>0</v>
      </c>
      <c r="C13" s="224">
        <v>0</v>
      </c>
      <c r="D13" s="223">
        <v>1</v>
      </c>
      <c r="E13" s="224">
        <v>245</v>
      </c>
      <c r="F13" s="224">
        <v>257</v>
      </c>
      <c r="G13" s="224">
        <v>34</v>
      </c>
      <c r="H13" s="224">
        <v>0</v>
      </c>
      <c r="I13" s="224">
        <v>-46</v>
      </c>
      <c r="J13" s="224">
        <v>326</v>
      </c>
      <c r="K13" s="224">
        <v>181</v>
      </c>
      <c r="L13" s="224">
        <v>245</v>
      </c>
      <c r="M13" s="224">
        <v>245</v>
      </c>
      <c r="N13" s="224">
        <v>29</v>
      </c>
      <c r="O13" s="224">
        <v>8</v>
      </c>
      <c r="P13" s="224">
        <v>0</v>
      </c>
      <c r="Q13" s="224">
        <v>0</v>
      </c>
      <c r="R13" s="224">
        <v>-49</v>
      </c>
      <c r="S13" s="224">
        <v>0</v>
      </c>
      <c r="T13" s="224">
        <v>0</v>
      </c>
      <c r="U13" s="224"/>
      <c r="V13" s="224">
        <v>-3</v>
      </c>
      <c r="W13" s="224">
        <v>0</v>
      </c>
      <c r="X13" s="224">
        <v>46</v>
      </c>
      <c r="Y13" s="224">
        <v>0</v>
      </c>
      <c r="Z13" s="224">
        <v>0</v>
      </c>
      <c r="AA13" s="224">
        <v>-3</v>
      </c>
      <c r="AB13" s="224">
        <v>-3</v>
      </c>
      <c r="AC13" s="224">
        <v>-3</v>
      </c>
      <c r="AD13" s="224">
        <v>-3</v>
      </c>
      <c r="AE13" s="224">
        <v>-3</v>
      </c>
      <c r="AF13" s="224">
        <v>-31</v>
      </c>
      <c r="AG13" s="225">
        <v>15.8</v>
      </c>
      <c r="AH13" s="97">
        <f t="shared" si="0"/>
        <v>-12</v>
      </c>
    </row>
    <row r="14" spans="1:34">
      <c r="A14" s="223" t="s">
        <v>856</v>
      </c>
      <c r="B14" s="224">
        <v>0</v>
      </c>
      <c r="C14" s="224">
        <v>1</v>
      </c>
      <c r="D14" s="223">
        <v>138</v>
      </c>
      <c r="E14" s="224">
        <v>98559</v>
      </c>
      <c r="F14" s="224">
        <v>103167</v>
      </c>
      <c r="G14" s="224">
        <v>7360</v>
      </c>
      <c r="H14" s="224">
        <v>12.5</v>
      </c>
      <c r="I14" s="224">
        <v>-11968</v>
      </c>
      <c r="J14" s="224">
        <v>120280</v>
      </c>
      <c r="K14" s="224">
        <v>81338</v>
      </c>
      <c r="L14" s="224">
        <v>98559</v>
      </c>
      <c r="M14" s="224">
        <v>98559</v>
      </c>
      <c r="N14" s="224">
        <v>5502</v>
      </c>
      <c r="O14" s="224">
        <v>3173</v>
      </c>
      <c r="P14" s="224">
        <v>0</v>
      </c>
      <c r="Q14" s="224">
        <v>0</v>
      </c>
      <c r="R14" s="224">
        <v>-13283</v>
      </c>
      <c r="S14" s="224">
        <v>0</v>
      </c>
      <c r="T14" s="224">
        <v>0</v>
      </c>
      <c r="U14" s="224"/>
      <c r="V14" s="224">
        <v>-1315</v>
      </c>
      <c r="W14" s="224">
        <v>0</v>
      </c>
      <c r="X14" s="224">
        <v>11968</v>
      </c>
      <c r="Y14" s="224">
        <v>0</v>
      </c>
      <c r="Z14" s="224">
        <v>0</v>
      </c>
      <c r="AA14" s="224">
        <v>-1315</v>
      </c>
      <c r="AB14" s="224">
        <v>-1315</v>
      </c>
      <c r="AC14" s="224">
        <v>-1315</v>
      </c>
      <c r="AD14" s="224">
        <v>-1315</v>
      </c>
      <c r="AE14" s="224">
        <v>-1315</v>
      </c>
      <c r="AF14" s="224">
        <v>-5393</v>
      </c>
      <c r="AG14" s="225">
        <v>10.1</v>
      </c>
      <c r="AH14" s="97">
        <f t="shared" si="0"/>
        <v>-4608</v>
      </c>
    </row>
    <row r="15" spans="1:34">
      <c r="A15" s="223" t="s">
        <v>857</v>
      </c>
      <c r="B15" s="224">
        <v>21</v>
      </c>
      <c r="C15" s="224">
        <v>1</v>
      </c>
      <c r="D15" s="223">
        <v>471</v>
      </c>
      <c r="E15" s="224">
        <v>638900</v>
      </c>
      <c r="F15" s="224">
        <v>675707</v>
      </c>
      <c r="G15" s="224">
        <v>38999</v>
      </c>
      <c r="H15" s="224">
        <v>12262.5</v>
      </c>
      <c r="I15" s="224">
        <v>-63806</v>
      </c>
      <c r="J15" s="224">
        <v>755655</v>
      </c>
      <c r="K15" s="224">
        <v>543477</v>
      </c>
      <c r="L15" s="224">
        <v>638900</v>
      </c>
      <c r="M15" s="224">
        <v>638900</v>
      </c>
      <c r="N15" s="224">
        <v>26740</v>
      </c>
      <c r="O15" s="224">
        <v>20336</v>
      </c>
      <c r="P15" s="224">
        <v>0</v>
      </c>
      <c r="Q15" s="224">
        <v>0</v>
      </c>
      <c r="R15" s="224">
        <v>-71883</v>
      </c>
      <c r="S15" s="224">
        <v>-12000</v>
      </c>
      <c r="T15" s="224">
        <v>0</v>
      </c>
      <c r="U15" s="224"/>
      <c r="V15" s="224">
        <v>-8077</v>
      </c>
      <c r="W15" s="224">
        <v>0</v>
      </c>
      <c r="X15" s="224">
        <v>63806</v>
      </c>
      <c r="Y15" s="224">
        <v>0</v>
      </c>
      <c r="Z15" s="224">
        <v>0</v>
      </c>
      <c r="AA15" s="224">
        <v>-8077</v>
      </c>
      <c r="AB15" s="224">
        <v>-8077</v>
      </c>
      <c r="AC15" s="224">
        <v>-8077</v>
      </c>
      <c r="AD15" s="224">
        <v>-8077</v>
      </c>
      <c r="AE15" s="224">
        <v>-8077</v>
      </c>
      <c r="AF15" s="224">
        <v>-23421</v>
      </c>
      <c r="AG15" s="225">
        <v>8.9</v>
      </c>
      <c r="AH15" s="97">
        <f t="shared" si="0"/>
        <v>-36807</v>
      </c>
    </row>
    <row r="16" spans="1:34">
      <c r="A16" s="223" t="s">
        <v>858</v>
      </c>
      <c r="B16" s="224">
        <v>6</v>
      </c>
      <c r="C16" s="224">
        <v>0</v>
      </c>
      <c r="D16" s="223">
        <v>835</v>
      </c>
      <c r="E16" s="224">
        <v>799786</v>
      </c>
      <c r="F16" s="224">
        <v>826866</v>
      </c>
      <c r="G16" s="224">
        <v>57173</v>
      </c>
      <c r="H16" s="224">
        <v>4437.5</v>
      </c>
      <c r="I16" s="224">
        <v>-81703</v>
      </c>
      <c r="J16" s="224">
        <v>949336</v>
      </c>
      <c r="K16" s="224">
        <v>677806</v>
      </c>
      <c r="L16" s="224">
        <v>799786</v>
      </c>
      <c r="M16" s="224">
        <v>799786</v>
      </c>
      <c r="N16" s="224">
        <v>42176</v>
      </c>
      <c r="O16" s="224">
        <v>25339</v>
      </c>
      <c r="P16" s="224">
        <v>0</v>
      </c>
      <c r="Q16" s="224">
        <v>0</v>
      </c>
      <c r="R16" s="224">
        <v>-92045</v>
      </c>
      <c r="S16" s="224">
        <v>-2550</v>
      </c>
      <c r="T16" s="224">
        <v>0</v>
      </c>
      <c r="U16" s="224"/>
      <c r="V16" s="224">
        <v>-10342</v>
      </c>
      <c r="W16" s="224">
        <v>0</v>
      </c>
      <c r="X16" s="224">
        <v>81703</v>
      </c>
      <c r="Y16" s="224">
        <v>0</v>
      </c>
      <c r="Z16" s="224">
        <v>0</v>
      </c>
      <c r="AA16" s="224">
        <v>-10342</v>
      </c>
      <c r="AB16" s="224">
        <v>-10342</v>
      </c>
      <c r="AC16" s="224">
        <v>-10342</v>
      </c>
      <c r="AD16" s="224">
        <v>-10342</v>
      </c>
      <c r="AE16" s="224">
        <v>-10342</v>
      </c>
      <c r="AF16" s="224">
        <v>-29993</v>
      </c>
      <c r="AG16" s="225">
        <v>8.9</v>
      </c>
      <c r="AH16" s="97">
        <f t="shared" si="0"/>
        <v>-27080</v>
      </c>
    </row>
    <row r="17" spans="1:34">
      <c r="A17" s="223" t="s">
        <v>859</v>
      </c>
      <c r="B17" s="224">
        <v>11</v>
      </c>
      <c r="C17" s="224">
        <v>0</v>
      </c>
      <c r="D17" s="223">
        <v>117</v>
      </c>
      <c r="E17" s="224">
        <v>133938</v>
      </c>
      <c r="F17" s="224">
        <v>143528</v>
      </c>
      <c r="G17" s="224">
        <v>7637.5</v>
      </c>
      <c r="H17" s="224">
        <v>5712.5</v>
      </c>
      <c r="I17" s="224">
        <v>-11040</v>
      </c>
      <c r="J17" s="224">
        <v>154280</v>
      </c>
      <c r="K17" s="224">
        <v>117337</v>
      </c>
      <c r="L17" s="224">
        <v>133938</v>
      </c>
      <c r="M17" s="224">
        <v>133938</v>
      </c>
      <c r="N17" s="224">
        <v>4794</v>
      </c>
      <c r="O17" s="224">
        <v>4240.5</v>
      </c>
      <c r="P17" s="224">
        <v>0</v>
      </c>
      <c r="Q17" s="224">
        <v>0</v>
      </c>
      <c r="R17" s="224">
        <v>-12437</v>
      </c>
      <c r="S17" s="224">
        <v>-6187.5</v>
      </c>
      <c r="T17" s="224">
        <v>0</v>
      </c>
      <c r="U17" s="224"/>
      <c r="V17" s="224">
        <v>-1397</v>
      </c>
      <c r="W17" s="224">
        <v>0</v>
      </c>
      <c r="X17" s="224">
        <v>11040</v>
      </c>
      <c r="Y17" s="224">
        <v>0</v>
      </c>
      <c r="Z17" s="224">
        <v>0</v>
      </c>
      <c r="AA17" s="224">
        <v>-1397</v>
      </c>
      <c r="AB17" s="224">
        <v>-1397</v>
      </c>
      <c r="AC17" s="224">
        <v>-1397</v>
      </c>
      <c r="AD17" s="224">
        <v>-1397</v>
      </c>
      <c r="AE17" s="224">
        <v>-1397</v>
      </c>
      <c r="AF17" s="224">
        <v>-4055</v>
      </c>
      <c r="AG17" s="225">
        <v>8.9</v>
      </c>
      <c r="AH17" s="97">
        <f t="shared" si="0"/>
        <v>-9590</v>
      </c>
    </row>
    <row r="18" spans="1:34">
      <c r="A18" s="223" t="s">
        <v>860</v>
      </c>
      <c r="B18" s="224">
        <v>1</v>
      </c>
      <c r="C18" s="224">
        <v>0</v>
      </c>
      <c r="D18" s="223">
        <v>141</v>
      </c>
      <c r="E18" s="224">
        <v>144562</v>
      </c>
      <c r="F18" s="224">
        <v>149446</v>
      </c>
      <c r="G18" s="224">
        <v>10251</v>
      </c>
      <c r="H18" s="224">
        <v>662.5</v>
      </c>
      <c r="I18" s="224">
        <v>-14685</v>
      </c>
      <c r="J18" s="224">
        <v>171092</v>
      </c>
      <c r="K18" s="224">
        <v>122476</v>
      </c>
      <c r="L18" s="224">
        <v>144562</v>
      </c>
      <c r="M18" s="224">
        <v>144562</v>
      </c>
      <c r="N18" s="224">
        <v>7386</v>
      </c>
      <c r="O18" s="224">
        <v>4573</v>
      </c>
      <c r="P18" s="224">
        <v>0</v>
      </c>
      <c r="Q18" s="224">
        <v>0</v>
      </c>
      <c r="R18" s="224">
        <v>-16393</v>
      </c>
      <c r="S18" s="224">
        <v>-450</v>
      </c>
      <c r="T18" s="224">
        <v>0</v>
      </c>
      <c r="U18" s="224"/>
      <c r="V18" s="224">
        <v>-1708</v>
      </c>
      <c r="W18" s="224">
        <v>0</v>
      </c>
      <c r="X18" s="224">
        <v>14685</v>
      </c>
      <c r="Y18" s="224">
        <v>0</v>
      </c>
      <c r="Z18" s="224">
        <v>0</v>
      </c>
      <c r="AA18" s="224">
        <v>-1708</v>
      </c>
      <c r="AB18" s="224">
        <v>-1708</v>
      </c>
      <c r="AC18" s="224">
        <v>-1708</v>
      </c>
      <c r="AD18" s="224">
        <v>-1708</v>
      </c>
      <c r="AE18" s="224">
        <v>-1708</v>
      </c>
      <c r="AF18" s="224">
        <v>-6145</v>
      </c>
      <c r="AG18" s="225">
        <v>9.6</v>
      </c>
      <c r="AH18" s="97">
        <f t="shared" si="0"/>
        <v>-4884</v>
      </c>
    </row>
    <row r="19" spans="1:34">
      <c r="A19" s="223" t="s">
        <v>861</v>
      </c>
      <c r="B19" s="224">
        <v>0</v>
      </c>
      <c r="C19" s="224">
        <v>0</v>
      </c>
      <c r="D19" s="223">
        <v>1</v>
      </c>
      <c r="E19" s="224">
        <v>1018</v>
      </c>
      <c r="F19" s="224">
        <v>1161</v>
      </c>
      <c r="G19" s="224">
        <v>56</v>
      </c>
      <c r="H19" s="224">
        <v>0</v>
      </c>
      <c r="I19" s="224">
        <v>-199</v>
      </c>
      <c r="J19" s="224">
        <v>1388</v>
      </c>
      <c r="K19" s="224">
        <v>737</v>
      </c>
      <c r="L19" s="224">
        <v>1018</v>
      </c>
      <c r="M19" s="224">
        <v>1018</v>
      </c>
      <c r="N19" s="224">
        <v>40</v>
      </c>
      <c r="O19" s="224">
        <v>35</v>
      </c>
      <c r="P19" s="224">
        <v>0</v>
      </c>
      <c r="Q19" s="224">
        <v>0</v>
      </c>
      <c r="R19" s="224">
        <v>-218</v>
      </c>
      <c r="S19" s="224">
        <v>0</v>
      </c>
      <c r="T19" s="224">
        <v>0</v>
      </c>
      <c r="U19" s="224"/>
      <c r="V19" s="224">
        <v>-19</v>
      </c>
      <c r="W19" s="224">
        <v>0</v>
      </c>
      <c r="X19" s="224">
        <v>199</v>
      </c>
      <c r="Y19" s="224">
        <v>0</v>
      </c>
      <c r="Z19" s="224">
        <v>0</v>
      </c>
      <c r="AA19" s="224">
        <v>-19</v>
      </c>
      <c r="AB19" s="224">
        <v>-19</v>
      </c>
      <c r="AC19" s="224">
        <v>-19</v>
      </c>
      <c r="AD19" s="224">
        <v>-19</v>
      </c>
      <c r="AE19" s="224">
        <v>-19</v>
      </c>
      <c r="AF19" s="224">
        <v>-104</v>
      </c>
      <c r="AG19" s="225">
        <v>11.6</v>
      </c>
      <c r="AH19" s="97">
        <f t="shared" si="0"/>
        <v>-143</v>
      </c>
    </row>
    <row r="20" spans="1:34">
      <c r="A20" s="223" t="s">
        <v>862</v>
      </c>
      <c r="B20" s="224">
        <v>1</v>
      </c>
      <c r="C20" s="224">
        <v>0</v>
      </c>
      <c r="D20" s="223">
        <v>27</v>
      </c>
      <c r="E20" s="224">
        <v>19678</v>
      </c>
      <c r="F20" s="224">
        <v>20185</v>
      </c>
      <c r="G20" s="224">
        <v>1364</v>
      </c>
      <c r="H20" s="224">
        <v>87.5</v>
      </c>
      <c r="I20" s="224">
        <v>-1871</v>
      </c>
      <c r="J20" s="224">
        <v>23170</v>
      </c>
      <c r="K20" s="224">
        <v>16790</v>
      </c>
      <c r="L20" s="224">
        <v>19678</v>
      </c>
      <c r="M20" s="224">
        <v>19678</v>
      </c>
      <c r="N20" s="224">
        <v>996</v>
      </c>
      <c r="O20" s="224">
        <v>618</v>
      </c>
      <c r="P20" s="224">
        <v>0</v>
      </c>
      <c r="Q20" s="224">
        <v>0</v>
      </c>
      <c r="R20" s="224">
        <v>-2121</v>
      </c>
      <c r="S20" s="224">
        <v>0</v>
      </c>
      <c r="T20" s="224">
        <v>0</v>
      </c>
      <c r="U20" s="224"/>
      <c r="V20" s="224">
        <v>-250</v>
      </c>
      <c r="W20" s="224">
        <v>0</v>
      </c>
      <c r="X20" s="224">
        <v>1871</v>
      </c>
      <c r="Y20" s="224">
        <v>0</v>
      </c>
      <c r="Z20" s="224">
        <v>0</v>
      </c>
      <c r="AA20" s="224">
        <v>-250</v>
      </c>
      <c r="AB20" s="224">
        <v>-250</v>
      </c>
      <c r="AC20" s="224">
        <v>-250</v>
      </c>
      <c r="AD20" s="224">
        <v>-250</v>
      </c>
      <c r="AE20" s="224">
        <v>-250</v>
      </c>
      <c r="AF20" s="224">
        <v>-621</v>
      </c>
      <c r="AG20" s="225">
        <v>8.5</v>
      </c>
      <c r="AH20" s="97">
        <f t="shared" si="0"/>
        <v>-507</v>
      </c>
    </row>
    <row r="21" spans="1:34">
      <c r="A21" s="223" t="s">
        <v>863</v>
      </c>
      <c r="B21" s="224">
        <v>0</v>
      </c>
      <c r="C21" s="224">
        <v>0</v>
      </c>
      <c r="D21" s="223">
        <v>42</v>
      </c>
      <c r="E21" s="224">
        <v>39893</v>
      </c>
      <c r="F21" s="224">
        <v>40692</v>
      </c>
      <c r="G21" s="224">
        <v>2944</v>
      </c>
      <c r="H21" s="224">
        <v>237.5</v>
      </c>
      <c r="I21" s="224">
        <v>-3743</v>
      </c>
      <c r="J21" s="224">
        <v>46609</v>
      </c>
      <c r="K21" s="224">
        <v>34449</v>
      </c>
      <c r="L21" s="224">
        <v>39893</v>
      </c>
      <c r="M21" s="224">
        <v>39893</v>
      </c>
      <c r="N21" s="224">
        <v>2144</v>
      </c>
      <c r="O21" s="224">
        <v>1251</v>
      </c>
      <c r="P21" s="224">
        <v>0</v>
      </c>
      <c r="Q21" s="224">
        <v>0</v>
      </c>
      <c r="R21" s="224">
        <v>-4194</v>
      </c>
      <c r="S21" s="224">
        <v>0</v>
      </c>
      <c r="T21" s="224">
        <v>0</v>
      </c>
      <c r="U21" s="224"/>
      <c r="V21" s="224">
        <v>-451</v>
      </c>
      <c r="W21" s="224">
        <v>0</v>
      </c>
      <c r="X21" s="224">
        <v>3743</v>
      </c>
      <c r="Y21" s="224">
        <v>0</v>
      </c>
      <c r="Z21" s="224">
        <v>0</v>
      </c>
      <c r="AA21" s="224">
        <v>-451</v>
      </c>
      <c r="AB21" s="224">
        <v>-451</v>
      </c>
      <c r="AC21" s="224">
        <v>-451</v>
      </c>
      <c r="AD21" s="224">
        <v>-451</v>
      </c>
      <c r="AE21" s="224">
        <v>-451</v>
      </c>
      <c r="AF21" s="224">
        <v>-1488</v>
      </c>
      <c r="AG21" s="225">
        <v>9.3000000000000007</v>
      </c>
      <c r="AH21" s="97">
        <f t="shared" si="0"/>
        <v>-799</v>
      </c>
    </row>
    <row r="22" spans="1:34">
      <c r="A22" s="223" t="s">
        <v>864</v>
      </c>
      <c r="B22" s="224">
        <v>0</v>
      </c>
      <c r="C22" s="224">
        <v>0</v>
      </c>
      <c r="D22" s="223">
        <v>45</v>
      </c>
      <c r="E22" s="224">
        <v>39387</v>
      </c>
      <c r="F22" s="224">
        <v>40744</v>
      </c>
      <c r="G22" s="224">
        <v>2919</v>
      </c>
      <c r="H22" s="224">
        <v>12.5</v>
      </c>
      <c r="I22" s="224">
        <v>-4276</v>
      </c>
      <c r="J22" s="224">
        <v>47085</v>
      </c>
      <c r="K22" s="224">
        <v>33050</v>
      </c>
      <c r="L22" s="224">
        <v>39387</v>
      </c>
      <c r="M22" s="224">
        <v>39387</v>
      </c>
      <c r="N22" s="224">
        <v>2104</v>
      </c>
      <c r="O22" s="224">
        <v>1251</v>
      </c>
      <c r="P22" s="224">
        <v>0</v>
      </c>
      <c r="Q22" s="224">
        <v>0</v>
      </c>
      <c r="R22" s="224">
        <v>-4712</v>
      </c>
      <c r="S22" s="224">
        <v>0</v>
      </c>
      <c r="T22" s="224">
        <v>0</v>
      </c>
      <c r="U22" s="224"/>
      <c r="V22" s="224">
        <v>-436</v>
      </c>
      <c r="W22" s="224">
        <v>0</v>
      </c>
      <c r="X22" s="224">
        <v>4276</v>
      </c>
      <c r="Y22" s="224">
        <v>0</v>
      </c>
      <c r="Z22" s="224">
        <v>0</v>
      </c>
      <c r="AA22" s="224">
        <v>-436</v>
      </c>
      <c r="AB22" s="224">
        <v>-436</v>
      </c>
      <c r="AC22" s="224">
        <v>-436</v>
      </c>
      <c r="AD22" s="224">
        <v>-436</v>
      </c>
      <c r="AE22" s="224">
        <v>-436</v>
      </c>
      <c r="AF22" s="224">
        <v>-2096</v>
      </c>
      <c r="AG22" s="225">
        <v>10.8</v>
      </c>
      <c r="AH22" s="97">
        <f t="shared" si="0"/>
        <v>-1357</v>
      </c>
    </row>
    <row r="23" spans="1:34">
      <c r="A23" s="223" t="s">
        <v>865</v>
      </c>
      <c r="B23" s="224">
        <v>0</v>
      </c>
      <c r="C23" s="224">
        <v>0</v>
      </c>
      <c r="D23" s="223">
        <v>131</v>
      </c>
      <c r="E23" s="224">
        <v>162454</v>
      </c>
      <c r="F23" s="224">
        <v>166818</v>
      </c>
      <c r="G23" s="224">
        <v>11666</v>
      </c>
      <c r="H23" s="224">
        <v>287.5</v>
      </c>
      <c r="I23" s="224">
        <v>-16030</v>
      </c>
      <c r="J23" s="224">
        <v>191409</v>
      </c>
      <c r="K23" s="224">
        <v>138508</v>
      </c>
      <c r="L23" s="224">
        <v>162454</v>
      </c>
      <c r="M23" s="224">
        <v>162454</v>
      </c>
      <c r="N23" s="224">
        <v>8392</v>
      </c>
      <c r="O23" s="224">
        <v>5116</v>
      </c>
      <c r="P23" s="224">
        <v>0</v>
      </c>
      <c r="Q23" s="224">
        <v>0</v>
      </c>
      <c r="R23" s="224">
        <v>-17872</v>
      </c>
      <c r="S23" s="224">
        <v>0</v>
      </c>
      <c r="T23" s="224">
        <v>0</v>
      </c>
      <c r="U23" s="224"/>
      <c r="V23" s="224">
        <v>-1842</v>
      </c>
      <c r="W23" s="224">
        <v>0</v>
      </c>
      <c r="X23" s="224">
        <v>16030</v>
      </c>
      <c r="Y23" s="224">
        <v>0</v>
      </c>
      <c r="Z23" s="224">
        <v>0</v>
      </c>
      <c r="AA23" s="224">
        <v>-1842</v>
      </c>
      <c r="AB23" s="224">
        <v>-1842</v>
      </c>
      <c r="AC23" s="224">
        <v>-1842</v>
      </c>
      <c r="AD23" s="224">
        <v>-1842</v>
      </c>
      <c r="AE23" s="224">
        <v>-1842</v>
      </c>
      <c r="AF23" s="224">
        <v>-6820</v>
      </c>
      <c r="AG23" s="225">
        <v>9.6999999999999993</v>
      </c>
      <c r="AH23" s="97">
        <f t="shared" si="0"/>
        <v>-4364</v>
      </c>
    </row>
    <row r="24" spans="1:34">
      <c r="A24" s="223" t="s">
        <v>866</v>
      </c>
      <c r="B24" s="224">
        <v>1</v>
      </c>
      <c r="C24" s="224">
        <v>0</v>
      </c>
      <c r="D24" s="223">
        <v>122</v>
      </c>
      <c r="E24" s="224">
        <v>83787</v>
      </c>
      <c r="F24" s="224">
        <v>87984</v>
      </c>
      <c r="G24" s="224">
        <v>6315</v>
      </c>
      <c r="H24" s="224">
        <v>550</v>
      </c>
      <c r="I24" s="224">
        <v>-10062</v>
      </c>
      <c r="J24" s="224">
        <v>101975</v>
      </c>
      <c r="K24" s="224">
        <v>69335</v>
      </c>
      <c r="L24" s="224">
        <v>83787</v>
      </c>
      <c r="M24" s="224">
        <v>83787</v>
      </c>
      <c r="N24" s="224">
        <v>4664</v>
      </c>
      <c r="O24" s="224">
        <v>2699</v>
      </c>
      <c r="P24" s="224">
        <v>0</v>
      </c>
      <c r="Q24" s="224">
        <v>0</v>
      </c>
      <c r="R24" s="224">
        <v>-11110</v>
      </c>
      <c r="S24" s="224">
        <v>-450</v>
      </c>
      <c r="T24" s="224">
        <v>0</v>
      </c>
      <c r="U24" s="224"/>
      <c r="V24" s="224">
        <v>-1048</v>
      </c>
      <c r="W24" s="224">
        <v>0</v>
      </c>
      <c r="X24" s="224">
        <v>10062</v>
      </c>
      <c r="Y24" s="224">
        <v>0</v>
      </c>
      <c r="Z24" s="224">
        <v>0</v>
      </c>
      <c r="AA24" s="224">
        <v>-1048</v>
      </c>
      <c r="AB24" s="224">
        <v>-1048</v>
      </c>
      <c r="AC24" s="224">
        <v>-1048</v>
      </c>
      <c r="AD24" s="224">
        <v>-1048</v>
      </c>
      <c r="AE24" s="224">
        <v>-1048</v>
      </c>
      <c r="AF24" s="224">
        <v>-4822</v>
      </c>
      <c r="AG24" s="225">
        <v>10.6</v>
      </c>
      <c r="AH24" s="97">
        <f t="shared" si="0"/>
        <v>-4197</v>
      </c>
    </row>
    <row r="25" spans="1:34">
      <c r="A25" s="223" t="s">
        <v>867</v>
      </c>
      <c r="B25" s="224">
        <v>11</v>
      </c>
      <c r="C25" s="224">
        <v>0</v>
      </c>
      <c r="D25" s="223">
        <v>581</v>
      </c>
      <c r="E25" s="224">
        <v>612272</v>
      </c>
      <c r="F25" s="224">
        <v>634168</v>
      </c>
      <c r="G25" s="224">
        <v>42798</v>
      </c>
      <c r="H25" s="224">
        <v>5937.5</v>
      </c>
      <c r="I25" s="224">
        <v>-59444</v>
      </c>
      <c r="J25" s="224">
        <v>720807</v>
      </c>
      <c r="K25" s="224">
        <v>522958</v>
      </c>
      <c r="L25" s="224">
        <v>612272</v>
      </c>
      <c r="M25" s="224">
        <v>612272</v>
      </c>
      <c r="N25" s="224">
        <v>30976</v>
      </c>
      <c r="O25" s="224">
        <v>19346</v>
      </c>
      <c r="P25" s="224">
        <v>0</v>
      </c>
      <c r="Q25" s="224">
        <v>0</v>
      </c>
      <c r="R25" s="224">
        <v>-66968</v>
      </c>
      <c r="S25" s="224">
        <v>-5250</v>
      </c>
      <c r="T25" s="224">
        <v>0</v>
      </c>
      <c r="U25" s="224"/>
      <c r="V25" s="224">
        <v>-7524</v>
      </c>
      <c r="W25" s="224">
        <v>0</v>
      </c>
      <c r="X25" s="224">
        <v>59444</v>
      </c>
      <c r="Y25" s="224">
        <v>0</v>
      </c>
      <c r="Z25" s="224">
        <v>0</v>
      </c>
      <c r="AA25" s="224">
        <v>-7524</v>
      </c>
      <c r="AB25" s="224">
        <v>-7524</v>
      </c>
      <c r="AC25" s="224">
        <v>-7524</v>
      </c>
      <c r="AD25" s="224">
        <v>-7524</v>
      </c>
      <c r="AE25" s="224">
        <v>-7524</v>
      </c>
      <c r="AF25" s="224">
        <v>-21824</v>
      </c>
      <c r="AG25" s="225">
        <v>8.9</v>
      </c>
      <c r="AH25" s="97">
        <f t="shared" si="0"/>
        <v>-21896</v>
      </c>
    </row>
    <row r="26" spans="1:34">
      <c r="A26" s="223" t="s">
        <v>868</v>
      </c>
      <c r="B26" s="224">
        <v>1</v>
      </c>
      <c r="C26" s="224">
        <v>0</v>
      </c>
      <c r="D26" s="223">
        <v>20</v>
      </c>
      <c r="E26" s="224">
        <v>20767</v>
      </c>
      <c r="F26" s="224">
        <v>21797</v>
      </c>
      <c r="G26" s="224">
        <v>1371</v>
      </c>
      <c r="H26" s="224">
        <v>425</v>
      </c>
      <c r="I26" s="224">
        <v>-1951</v>
      </c>
      <c r="J26" s="224">
        <v>24296</v>
      </c>
      <c r="K26" s="224">
        <v>17834</v>
      </c>
      <c r="L26" s="224">
        <v>20767</v>
      </c>
      <c r="M26" s="224">
        <v>20767</v>
      </c>
      <c r="N26" s="224">
        <v>954</v>
      </c>
      <c r="O26" s="224">
        <v>658</v>
      </c>
      <c r="P26" s="224">
        <v>0</v>
      </c>
      <c r="Q26" s="224">
        <v>0</v>
      </c>
      <c r="R26" s="224">
        <v>-2192</v>
      </c>
      <c r="S26" s="224">
        <v>-450</v>
      </c>
      <c r="T26" s="224">
        <v>0</v>
      </c>
      <c r="U26" s="224"/>
      <c r="V26" s="224">
        <v>-241</v>
      </c>
      <c r="W26" s="224">
        <v>0</v>
      </c>
      <c r="X26" s="224">
        <v>1951</v>
      </c>
      <c r="Y26" s="224">
        <v>0</v>
      </c>
      <c r="Z26" s="224">
        <v>0</v>
      </c>
      <c r="AA26" s="224">
        <v>-241</v>
      </c>
      <c r="AB26" s="224">
        <v>-241</v>
      </c>
      <c r="AC26" s="224">
        <v>-241</v>
      </c>
      <c r="AD26" s="224">
        <v>-241</v>
      </c>
      <c r="AE26" s="224">
        <v>-241</v>
      </c>
      <c r="AF26" s="224">
        <v>-746</v>
      </c>
      <c r="AG26" s="225">
        <v>9.1</v>
      </c>
      <c r="AH26" s="97">
        <f t="shared" si="0"/>
        <v>-1030</v>
      </c>
    </row>
    <row r="27" spans="1:34">
      <c r="A27" s="223" t="s">
        <v>869</v>
      </c>
      <c r="B27" s="224">
        <v>7</v>
      </c>
      <c r="C27" s="224">
        <v>1</v>
      </c>
      <c r="D27" s="223">
        <v>505</v>
      </c>
      <c r="E27" s="224">
        <v>427596</v>
      </c>
      <c r="F27" s="224">
        <v>442397</v>
      </c>
      <c r="G27" s="224">
        <v>30885</v>
      </c>
      <c r="H27" s="224">
        <v>4087.5</v>
      </c>
      <c r="I27" s="224">
        <v>-43136</v>
      </c>
      <c r="J27" s="224">
        <v>506561</v>
      </c>
      <c r="K27" s="224">
        <v>363350</v>
      </c>
      <c r="L27" s="224">
        <v>427596</v>
      </c>
      <c r="M27" s="224">
        <v>427596</v>
      </c>
      <c r="N27" s="224">
        <v>22732</v>
      </c>
      <c r="O27" s="224">
        <v>13545</v>
      </c>
      <c r="P27" s="224">
        <v>0</v>
      </c>
      <c r="Q27" s="224">
        <v>0</v>
      </c>
      <c r="R27" s="224">
        <v>-48528</v>
      </c>
      <c r="S27" s="224">
        <v>-2550</v>
      </c>
      <c r="T27" s="224">
        <v>0</v>
      </c>
      <c r="U27" s="224"/>
      <c r="V27" s="224">
        <v>-5392</v>
      </c>
      <c r="W27" s="224">
        <v>0</v>
      </c>
      <c r="X27" s="224">
        <v>43136</v>
      </c>
      <c r="Y27" s="224">
        <v>0</v>
      </c>
      <c r="Z27" s="224">
        <v>0</v>
      </c>
      <c r="AA27" s="224">
        <v>-5392</v>
      </c>
      <c r="AB27" s="224">
        <v>-5392</v>
      </c>
      <c r="AC27" s="224">
        <v>-5392</v>
      </c>
      <c r="AD27" s="224">
        <v>-5392</v>
      </c>
      <c r="AE27" s="224">
        <v>-5392</v>
      </c>
      <c r="AF27" s="224">
        <v>-16176</v>
      </c>
      <c r="AG27" s="225">
        <v>9</v>
      </c>
      <c r="AH27" s="97">
        <f t="shared" si="0"/>
        <v>-14801</v>
      </c>
    </row>
    <row r="28" spans="1:34">
      <c r="A28" s="223" t="s">
        <v>870</v>
      </c>
      <c r="B28" s="224">
        <v>0</v>
      </c>
      <c r="C28" s="224">
        <v>0</v>
      </c>
      <c r="D28" s="223">
        <v>10</v>
      </c>
      <c r="E28" s="224">
        <v>6035</v>
      </c>
      <c r="F28" s="224">
        <v>6375</v>
      </c>
      <c r="G28" s="224">
        <v>502</v>
      </c>
      <c r="H28" s="224">
        <v>0</v>
      </c>
      <c r="I28" s="224">
        <v>-842</v>
      </c>
      <c r="J28" s="224">
        <v>7556</v>
      </c>
      <c r="K28" s="224">
        <v>4838</v>
      </c>
      <c r="L28" s="224">
        <v>6035</v>
      </c>
      <c r="M28" s="224">
        <v>6035</v>
      </c>
      <c r="N28" s="224">
        <v>397</v>
      </c>
      <c r="O28" s="224">
        <v>198</v>
      </c>
      <c r="P28" s="224">
        <v>0</v>
      </c>
      <c r="Q28" s="224">
        <v>0</v>
      </c>
      <c r="R28" s="224">
        <v>-935</v>
      </c>
      <c r="S28" s="224">
        <v>0</v>
      </c>
      <c r="T28" s="224">
        <v>0</v>
      </c>
      <c r="U28" s="224"/>
      <c r="V28" s="224">
        <v>-93</v>
      </c>
      <c r="W28" s="224">
        <v>0</v>
      </c>
      <c r="X28" s="224">
        <v>842</v>
      </c>
      <c r="Y28" s="224">
        <v>0</v>
      </c>
      <c r="Z28" s="224">
        <v>0</v>
      </c>
      <c r="AA28" s="224">
        <v>-93</v>
      </c>
      <c r="AB28" s="224">
        <v>-93</v>
      </c>
      <c r="AC28" s="224">
        <v>-93</v>
      </c>
      <c r="AD28" s="224">
        <v>-93</v>
      </c>
      <c r="AE28" s="224">
        <v>-93</v>
      </c>
      <c r="AF28" s="224">
        <v>-377</v>
      </c>
      <c r="AG28" s="225">
        <v>10.1</v>
      </c>
      <c r="AH28" s="97">
        <f t="shared" si="0"/>
        <v>-340</v>
      </c>
    </row>
    <row r="29" spans="1:34">
      <c r="A29" s="223" t="s">
        <v>871</v>
      </c>
      <c r="B29" s="224">
        <v>0</v>
      </c>
      <c r="C29" s="224">
        <v>0</v>
      </c>
      <c r="D29" s="223">
        <v>19</v>
      </c>
      <c r="E29" s="224">
        <v>13396</v>
      </c>
      <c r="F29" s="224">
        <v>13583</v>
      </c>
      <c r="G29" s="224">
        <v>1088</v>
      </c>
      <c r="H29" s="224">
        <v>112.5</v>
      </c>
      <c r="I29" s="224">
        <v>-1275</v>
      </c>
      <c r="J29" s="224">
        <v>15758</v>
      </c>
      <c r="K29" s="224">
        <v>11453</v>
      </c>
      <c r="L29" s="224">
        <v>13396</v>
      </c>
      <c r="M29" s="224">
        <v>13396</v>
      </c>
      <c r="N29" s="224">
        <v>849</v>
      </c>
      <c r="O29" s="224">
        <v>421</v>
      </c>
      <c r="P29" s="224">
        <v>0</v>
      </c>
      <c r="Q29" s="224">
        <v>0</v>
      </c>
      <c r="R29" s="224">
        <v>-1457</v>
      </c>
      <c r="S29" s="224">
        <v>0</v>
      </c>
      <c r="T29" s="224">
        <v>0</v>
      </c>
      <c r="U29" s="224"/>
      <c r="V29" s="224">
        <v>-182</v>
      </c>
      <c r="W29" s="224">
        <v>0</v>
      </c>
      <c r="X29" s="224">
        <v>1275</v>
      </c>
      <c r="Y29" s="224">
        <v>0</v>
      </c>
      <c r="Z29" s="224">
        <v>0</v>
      </c>
      <c r="AA29" s="224">
        <v>-182</v>
      </c>
      <c r="AB29" s="224">
        <v>-182</v>
      </c>
      <c r="AC29" s="224">
        <v>-182</v>
      </c>
      <c r="AD29" s="224">
        <v>-182</v>
      </c>
      <c r="AE29" s="224">
        <v>-182</v>
      </c>
      <c r="AF29" s="224">
        <v>-365</v>
      </c>
      <c r="AG29" s="225">
        <v>8</v>
      </c>
      <c r="AH29" s="97">
        <f t="shared" si="0"/>
        <v>-187</v>
      </c>
    </row>
    <row r="30" spans="1:34">
      <c r="A30" s="223" t="s">
        <v>872</v>
      </c>
      <c r="B30" s="224">
        <v>0</v>
      </c>
      <c r="C30" s="224">
        <v>0</v>
      </c>
      <c r="D30" s="223">
        <v>143</v>
      </c>
      <c r="E30" s="224">
        <v>236856</v>
      </c>
      <c r="F30" s="224">
        <v>244944</v>
      </c>
      <c r="G30" s="224">
        <v>13868</v>
      </c>
      <c r="H30" s="224">
        <v>1325</v>
      </c>
      <c r="I30" s="224">
        <v>-21956</v>
      </c>
      <c r="J30" s="224">
        <v>277929</v>
      </c>
      <c r="K30" s="224">
        <v>202972</v>
      </c>
      <c r="L30" s="224">
        <v>236856</v>
      </c>
      <c r="M30" s="224">
        <v>236856</v>
      </c>
      <c r="N30" s="224">
        <v>9859</v>
      </c>
      <c r="O30" s="224">
        <v>7440</v>
      </c>
      <c r="P30" s="224">
        <v>0</v>
      </c>
      <c r="Q30" s="224">
        <v>0</v>
      </c>
      <c r="R30" s="224">
        <v>-25387</v>
      </c>
      <c r="S30" s="224">
        <v>0</v>
      </c>
      <c r="T30" s="224">
        <v>0</v>
      </c>
      <c r="U30" s="224"/>
      <c r="V30" s="224">
        <v>-3431</v>
      </c>
      <c r="W30" s="224">
        <v>0</v>
      </c>
      <c r="X30" s="224">
        <v>21956</v>
      </c>
      <c r="Y30" s="224">
        <v>0</v>
      </c>
      <c r="Z30" s="224">
        <v>0</v>
      </c>
      <c r="AA30" s="224">
        <v>-3431</v>
      </c>
      <c r="AB30" s="224">
        <v>-3431</v>
      </c>
      <c r="AC30" s="224">
        <v>-3431</v>
      </c>
      <c r="AD30" s="224">
        <v>-3431</v>
      </c>
      <c r="AE30" s="224">
        <v>-3431</v>
      </c>
      <c r="AF30" s="224">
        <v>-4801</v>
      </c>
      <c r="AG30" s="225">
        <v>7.4</v>
      </c>
      <c r="AH30" s="97">
        <f t="shared" si="0"/>
        <v>-8088</v>
      </c>
    </row>
    <row r="31" spans="1:34">
      <c r="A31" s="223" t="s">
        <v>873</v>
      </c>
      <c r="B31" s="224">
        <v>11</v>
      </c>
      <c r="C31" s="224">
        <v>0</v>
      </c>
      <c r="D31" s="223">
        <v>431</v>
      </c>
      <c r="E31" s="224">
        <v>446751</v>
      </c>
      <c r="F31" s="224">
        <v>462363</v>
      </c>
      <c r="G31" s="224">
        <v>31194</v>
      </c>
      <c r="H31" s="224">
        <v>5900</v>
      </c>
      <c r="I31" s="224">
        <v>-42306</v>
      </c>
      <c r="J31" s="224">
        <v>524023</v>
      </c>
      <c r="K31" s="224">
        <v>383442</v>
      </c>
      <c r="L31" s="224">
        <v>446751</v>
      </c>
      <c r="M31" s="224">
        <v>446751</v>
      </c>
      <c r="N31" s="224">
        <v>22393</v>
      </c>
      <c r="O31" s="224">
        <v>14089</v>
      </c>
      <c r="P31" s="224">
        <v>0</v>
      </c>
      <c r="Q31" s="224">
        <v>0</v>
      </c>
      <c r="R31" s="224">
        <v>-47594</v>
      </c>
      <c r="S31" s="224">
        <v>-4500</v>
      </c>
      <c r="T31" s="224">
        <v>0</v>
      </c>
      <c r="U31" s="224"/>
      <c r="V31" s="224">
        <v>-5288</v>
      </c>
      <c r="W31" s="224">
        <v>0</v>
      </c>
      <c r="X31" s="224">
        <v>42306</v>
      </c>
      <c r="Y31" s="224">
        <v>0</v>
      </c>
      <c r="Z31" s="224">
        <v>0</v>
      </c>
      <c r="AA31" s="224">
        <v>-5288</v>
      </c>
      <c r="AB31" s="224">
        <v>-5288</v>
      </c>
      <c r="AC31" s="224">
        <v>-5288</v>
      </c>
      <c r="AD31" s="224">
        <v>-5288</v>
      </c>
      <c r="AE31" s="224">
        <v>-5288</v>
      </c>
      <c r="AF31" s="224">
        <v>-15866</v>
      </c>
      <c r="AG31" s="225">
        <v>9</v>
      </c>
      <c r="AH31" s="97">
        <f t="shared" si="0"/>
        <v>-15612</v>
      </c>
    </row>
    <row r="32" spans="1:34">
      <c r="A32" s="223" t="s">
        <v>874</v>
      </c>
      <c r="B32" s="224">
        <v>0</v>
      </c>
      <c r="C32" s="224">
        <v>0</v>
      </c>
      <c r="D32" s="223">
        <v>21</v>
      </c>
      <c r="E32" s="224">
        <v>11499</v>
      </c>
      <c r="F32" s="224">
        <v>11948</v>
      </c>
      <c r="G32" s="224">
        <v>1072</v>
      </c>
      <c r="H32" s="224">
        <v>0</v>
      </c>
      <c r="I32" s="224">
        <v>-1521</v>
      </c>
      <c r="J32" s="224">
        <v>14246</v>
      </c>
      <c r="K32" s="224">
        <v>9408</v>
      </c>
      <c r="L32" s="224">
        <v>11499</v>
      </c>
      <c r="M32" s="224">
        <v>11499</v>
      </c>
      <c r="N32" s="224">
        <v>855</v>
      </c>
      <c r="O32" s="224">
        <v>374</v>
      </c>
      <c r="P32" s="224">
        <v>0</v>
      </c>
      <c r="Q32" s="224">
        <v>0</v>
      </c>
      <c r="R32" s="224">
        <v>-1678</v>
      </c>
      <c r="S32" s="224">
        <v>0</v>
      </c>
      <c r="T32" s="224">
        <v>0</v>
      </c>
      <c r="U32" s="224"/>
      <c r="V32" s="224">
        <v>-157</v>
      </c>
      <c r="W32" s="224">
        <v>0</v>
      </c>
      <c r="X32" s="224">
        <v>1521</v>
      </c>
      <c r="Y32" s="224">
        <v>0</v>
      </c>
      <c r="Z32" s="224">
        <v>0</v>
      </c>
      <c r="AA32" s="224">
        <v>-157</v>
      </c>
      <c r="AB32" s="224">
        <v>-157</v>
      </c>
      <c r="AC32" s="224">
        <v>-157</v>
      </c>
      <c r="AD32" s="224">
        <v>-157</v>
      </c>
      <c r="AE32" s="224">
        <v>-157</v>
      </c>
      <c r="AF32" s="224">
        <v>-736</v>
      </c>
      <c r="AG32" s="225">
        <v>10.7</v>
      </c>
      <c r="AH32" s="97">
        <f t="shared" si="0"/>
        <v>-449</v>
      </c>
    </row>
    <row r="33" spans="1:34">
      <c r="A33" s="223" t="s">
        <v>875</v>
      </c>
      <c r="B33" s="224">
        <v>0</v>
      </c>
      <c r="C33" s="224">
        <v>0</v>
      </c>
      <c r="D33" s="223">
        <v>16</v>
      </c>
      <c r="E33" s="224">
        <v>9350</v>
      </c>
      <c r="F33" s="224">
        <v>9447</v>
      </c>
      <c r="G33" s="224">
        <v>773</v>
      </c>
      <c r="H33" s="224">
        <v>12.5</v>
      </c>
      <c r="I33" s="224">
        <v>-870</v>
      </c>
      <c r="J33" s="224">
        <v>10975</v>
      </c>
      <c r="K33" s="224">
        <v>7979</v>
      </c>
      <c r="L33" s="224">
        <v>9350</v>
      </c>
      <c r="M33" s="224">
        <v>9350</v>
      </c>
      <c r="N33" s="224">
        <v>601</v>
      </c>
      <c r="O33" s="224">
        <v>293</v>
      </c>
      <c r="P33" s="224">
        <v>0</v>
      </c>
      <c r="Q33" s="224">
        <v>0</v>
      </c>
      <c r="R33" s="224">
        <v>-991</v>
      </c>
      <c r="S33" s="224">
        <v>0</v>
      </c>
      <c r="T33" s="224">
        <v>0</v>
      </c>
      <c r="U33" s="224"/>
      <c r="V33" s="224">
        <v>-121</v>
      </c>
      <c r="W33" s="224">
        <v>0</v>
      </c>
      <c r="X33" s="224">
        <v>870</v>
      </c>
      <c r="Y33" s="224">
        <v>0</v>
      </c>
      <c r="Z33" s="224">
        <v>0</v>
      </c>
      <c r="AA33" s="224">
        <v>-121</v>
      </c>
      <c r="AB33" s="224">
        <v>-121</v>
      </c>
      <c r="AC33" s="224">
        <v>-121</v>
      </c>
      <c r="AD33" s="224">
        <v>-121</v>
      </c>
      <c r="AE33" s="224">
        <v>-121</v>
      </c>
      <c r="AF33" s="224">
        <v>-265</v>
      </c>
      <c r="AG33" s="225">
        <v>8.1999999999999993</v>
      </c>
      <c r="AH33" s="97">
        <f t="shared" si="0"/>
        <v>-97</v>
      </c>
    </row>
    <row r="34" spans="1:34">
      <c r="A34" s="223" t="s">
        <v>876</v>
      </c>
      <c r="B34" s="224">
        <v>7</v>
      </c>
      <c r="C34" s="224">
        <v>0</v>
      </c>
      <c r="D34" s="223">
        <v>1645</v>
      </c>
      <c r="E34" s="224">
        <v>1665272</v>
      </c>
      <c r="F34" s="224">
        <v>1717072</v>
      </c>
      <c r="G34" s="224">
        <v>117113</v>
      </c>
      <c r="H34" s="224">
        <v>8012.5</v>
      </c>
      <c r="I34" s="224">
        <v>-165463</v>
      </c>
      <c r="J34" s="224">
        <v>1968677</v>
      </c>
      <c r="K34" s="224">
        <v>1417505</v>
      </c>
      <c r="L34" s="224">
        <v>1665272</v>
      </c>
      <c r="M34" s="224">
        <v>1665272</v>
      </c>
      <c r="N34" s="224">
        <v>86278</v>
      </c>
      <c r="O34" s="224">
        <v>52607</v>
      </c>
      <c r="P34" s="224">
        <v>0</v>
      </c>
      <c r="Q34" s="224">
        <v>0</v>
      </c>
      <c r="R34" s="224">
        <v>-187235</v>
      </c>
      <c r="S34" s="224">
        <v>-3450</v>
      </c>
      <c r="T34" s="224">
        <v>0</v>
      </c>
      <c r="U34" s="224"/>
      <c r="V34" s="224">
        <v>-21772</v>
      </c>
      <c r="W34" s="224">
        <v>0</v>
      </c>
      <c r="X34" s="224">
        <v>165463</v>
      </c>
      <c r="Y34" s="224">
        <v>0</v>
      </c>
      <c r="Z34" s="224">
        <v>0</v>
      </c>
      <c r="AA34" s="224">
        <v>-21772</v>
      </c>
      <c r="AB34" s="224">
        <v>-21772</v>
      </c>
      <c r="AC34" s="224">
        <v>-21772</v>
      </c>
      <c r="AD34" s="224">
        <v>-21772</v>
      </c>
      <c r="AE34" s="224">
        <v>-21772</v>
      </c>
      <c r="AF34" s="224">
        <v>-56603</v>
      </c>
      <c r="AG34" s="225">
        <v>8.6</v>
      </c>
      <c r="AH34" s="97">
        <f t="shared" si="0"/>
        <v>-51800</v>
      </c>
    </row>
    <row r="35" spans="1:34">
      <c r="A35" s="223" t="s">
        <v>877</v>
      </c>
      <c r="B35" s="224">
        <v>17</v>
      </c>
      <c r="C35" s="224">
        <v>0</v>
      </c>
      <c r="D35" s="223">
        <v>2626</v>
      </c>
      <c r="E35" s="224">
        <v>2077340</v>
      </c>
      <c r="F35" s="224">
        <v>2144595</v>
      </c>
      <c r="G35" s="224">
        <v>159695</v>
      </c>
      <c r="H35" s="224">
        <v>11900</v>
      </c>
      <c r="I35" s="224">
        <v>-218850</v>
      </c>
      <c r="J35" s="224">
        <v>2477584</v>
      </c>
      <c r="K35" s="224">
        <v>1754659</v>
      </c>
      <c r="L35" s="224">
        <v>2077340</v>
      </c>
      <c r="M35" s="224">
        <v>2077340</v>
      </c>
      <c r="N35" s="224">
        <v>121013</v>
      </c>
      <c r="O35" s="224">
        <v>66038</v>
      </c>
      <c r="P35" s="224">
        <v>0</v>
      </c>
      <c r="Q35" s="224">
        <v>0</v>
      </c>
      <c r="R35" s="224">
        <v>-246206</v>
      </c>
      <c r="S35" s="224">
        <v>-8100</v>
      </c>
      <c r="T35" s="224">
        <v>0</v>
      </c>
      <c r="U35" s="224"/>
      <c r="V35" s="224">
        <v>-27356</v>
      </c>
      <c r="W35" s="224">
        <v>0</v>
      </c>
      <c r="X35" s="224">
        <v>218850</v>
      </c>
      <c r="Y35" s="224">
        <v>0</v>
      </c>
      <c r="Z35" s="224">
        <v>0</v>
      </c>
      <c r="AA35" s="224">
        <v>-27356</v>
      </c>
      <c r="AB35" s="224">
        <v>-27356</v>
      </c>
      <c r="AC35" s="224">
        <v>-27356</v>
      </c>
      <c r="AD35" s="224">
        <v>-27356</v>
      </c>
      <c r="AE35" s="224">
        <v>-27356</v>
      </c>
      <c r="AF35" s="224">
        <v>-82070</v>
      </c>
      <c r="AG35" s="225">
        <v>9</v>
      </c>
      <c r="AH35" s="97">
        <f t="shared" si="0"/>
        <v>-67255</v>
      </c>
    </row>
    <row r="36" spans="1:34">
      <c r="A36" s="223" t="s">
        <v>878</v>
      </c>
      <c r="B36" s="224">
        <v>1</v>
      </c>
      <c r="C36" s="224">
        <v>1</v>
      </c>
      <c r="D36" s="223">
        <v>946</v>
      </c>
      <c r="E36" s="224">
        <v>1552146</v>
      </c>
      <c r="F36" s="224">
        <v>1639954</v>
      </c>
      <c r="G36" s="224">
        <v>93617</v>
      </c>
      <c r="H36" s="224">
        <v>1112.5</v>
      </c>
      <c r="I36" s="224">
        <v>-181125</v>
      </c>
      <c r="J36" s="224">
        <v>1886220</v>
      </c>
      <c r="K36" s="224">
        <v>1283358</v>
      </c>
      <c r="L36" s="224">
        <v>1552146</v>
      </c>
      <c r="M36" s="224">
        <v>1552146</v>
      </c>
      <c r="N36" s="224">
        <v>67902</v>
      </c>
      <c r="O36" s="224">
        <v>49865</v>
      </c>
      <c r="P36" s="224">
        <v>0</v>
      </c>
      <c r="Q36" s="224">
        <v>0</v>
      </c>
      <c r="R36" s="224">
        <v>-205275</v>
      </c>
      <c r="S36" s="224">
        <v>-300</v>
      </c>
      <c r="T36" s="224">
        <v>0</v>
      </c>
      <c r="U36" s="224"/>
      <c r="V36" s="224">
        <v>-24150</v>
      </c>
      <c r="W36" s="224">
        <v>0</v>
      </c>
      <c r="X36" s="224">
        <v>181125</v>
      </c>
      <c r="Y36" s="224">
        <v>0</v>
      </c>
      <c r="Z36" s="224">
        <v>0</v>
      </c>
      <c r="AA36" s="224">
        <v>-24150</v>
      </c>
      <c r="AB36" s="224">
        <v>-24150</v>
      </c>
      <c r="AC36" s="224">
        <v>-24150</v>
      </c>
      <c r="AD36" s="224">
        <v>-24150</v>
      </c>
      <c r="AE36" s="224">
        <v>-24150</v>
      </c>
      <c r="AF36" s="224">
        <v>-60375</v>
      </c>
      <c r="AG36" s="225">
        <v>8.5</v>
      </c>
      <c r="AH36" s="97">
        <f t="shared" si="0"/>
        <v>-87808</v>
      </c>
    </row>
    <row r="37" spans="1:34">
      <c r="A37" s="223" t="s">
        <v>879</v>
      </c>
      <c r="B37" s="224">
        <v>13</v>
      </c>
      <c r="C37" s="224">
        <v>5</v>
      </c>
      <c r="D37" s="223">
        <v>61</v>
      </c>
      <c r="E37" s="224">
        <v>178312</v>
      </c>
      <c r="F37" s="224">
        <v>200567</v>
      </c>
      <c r="G37" s="224">
        <v>5959.5</v>
      </c>
      <c r="H37" s="224">
        <v>7750</v>
      </c>
      <c r="I37" s="224">
        <v>-12452</v>
      </c>
      <c r="J37" s="224">
        <v>202063</v>
      </c>
      <c r="K37" s="224">
        <v>158445</v>
      </c>
      <c r="L37" s="224">
        <v>178312</v>
      </c>
      <c r="M37" s="224">
        <v>178312</v>
      </c>
      <c r="N37" s="224">
        <v>2484</v>
      </c>
      <c r="O37" s="224">
        <v>5698.5</v>
      </c>
      <c r="P37" s="224">
        <v>0</v>
      </c>
      <c r="Q37" s="224">
        <v>0</v>
      </c>
      <c r="R37" s="224">
        <v>-14675</v>
      </c>
      <c r="S37" s="224">
        <v>-15762.5</v>
      </c>
      <c r="T37" s="224">
        <v>0</v>
      </c>
      <c r="U37" s="224"/>
      <c r="V37" s="224">
        <v>-2223</v>
      </c>
      <c r="W37" s="224">
        <v>0</v>
      </c>
      <c r="X37" s="224">
        <v>12452</v>
      </c>
      <c r="Y37" s="224">
        <v>0</v>
      </c>
      <c r="Z37" s="224">
        <v>0</v>
      </c>
      <c r="AA37" s="224">
        <v>-2223</v>
      </c>
      <c r="AB37" s="224">
        <v>-2223</v>
      </c>
      <c r="AC37" s="224">
        <v>-2223</v>
      </c>
      <c r="AD37" s="224">
        <v>-2223</v>
      </c>
      <c r="AE37" s="224">
        <v>-2223</v>
      </c>
      <c r="AF37" s="224">
        <v>-1337</v>
      </c>
      <c r="AG37" s="225">
        <v>6.6</v>
      </c>
      <c r="AH37" s="97">
        <f t="shared" si="0"/>
        <v>-22255</v>
      </c>
    </row>
    <row r="38" spans="1:34">
      <c r="A38" s="223" t="s">
        <v>880</v>
      </c>
      <c r="B38" s="224">
        <v>0</v>
      </c>
      <c r="C38" s="224">
        <v>0</v>
      </c>
      <c r="D38" s="223">
        <v>3</v>
      </c>
      <c r="E38" s="224">
        <v>8876</v>
      </c>
      <c r="F38" s="224">
        <v>8786</v>
      </c>
      <c r="G38" s="224">
        <v>476</v>
      </c>
      <c r="H38" s="224">
        <v>50</v>
      </c>
      <c r="I38" s="224">
        <v>-386</v>
      </c>
      <c r="J38" s="224">
        <v>9719</v>
      </c>
      <c r="K38" s="224">
        <v>8080</v>
      </c>
      <c r="L38" s="224">
        <v>8876</v>
      </c>
      <c r="M38" s="224">
        <v>8876</v>
      </c>
      <c r="N38" s="224">
        <v>358</v>
      </c>
      <c r="O38" s="224">
        <v>267</v>
      </c>
      <c r="P38" s="224">
        <v>0</v>
      </c>
      <c r="Q38" s="224">
        <v>0</v>
      </c>
      <c r="R38" s="224">
        <v>-535</v>
      </c>
      <c r="S38" s="224">
        <v>0</v>
      </c>
      <c r="T38" s="224">
        <v>0</v>
      </c>
      <c r="U38" s="224"/>
      <c r="V38" s="224">
        <v>-149</v>
      </c>
      <c r="W38" s="224">
        <v>0</v>
      </c>
      <c r="X38" s="224">
        <v>386</v>
      </c>
      <c r="Y38" s="224">
        <v>0</v>
      </c>
      <c r="Z38" s="224">
        <v>0</v>
      </c>
      <c r="AA38" s="224">
        <v>-149</v>
      </c>
      <c r="AB38" s="224">
        <v>-149</v>
      </c>
      <c r="AC38" s="224">
        <v>-88</v>
      </c>
      <c r="AD38" s="224">
        <v>0</v>
      </c>
      <c r="AE38" s="224">
        <v>0</v>
      </c>
      <c r="AF38" s="224">
        <v>0</v>
      </c>
      <c r="AG38" s="225">
        <v>3.6</v>
      </c>
      <c r="AH38" s="97">
        <f t="shared" si="0"/>
        <v>90</v>
      </c>
    </row>
    <row r="39" spans="1:34">
      <c r="A39" s="223" t="s">
        <v>881</v>
      </c>
      <c r="B39" s="224">
        <v>1</v>
      </c>
      <c r="C39" s="224">
        <v>0</v>
      </c>
      <c r="D39" s="223">
        <v>3</v>
      </c>
      <c r="E39" s="224">
        <v>6449</v>
      </c>
      <c r="F39" s="224">
        <v>7225</v>
      </c>
      <c r="G39" s="224">
        <v>216</v>
      </c>
      <c r="H39" s="224">
        <v>587.5</v>
      </c>
      <c r="I39" s="224">
        <v>-392</v>
      </c>
      <c r="J39" s="224">
        <v>7202</v>
      </c>
      <c r="K39" s="224">
        <v>5854</v>
      </c>
      <c r="L39" s="224">
        <v>6449</v>
      </c>
      <c r="M39" s="224">
        <v>6449</v>
      </c>
      <c r="N39" s="224">
        <v>78</v>
      </c>
      <c r="O39" s="224">
        <v>205</v>
      </c>
      <c r="P39" s="224">
        <v>0</v>
      </c>
      <c r="Q39" s="224">
        <v>0</v>
      </c>
      <c r="R39" s="224">
        <v>-459</v>
      </c>
      <c r="S39" s="224">
        <v>-600</v>
      </c>
      <c r="T39" s="224">
        <v>0</v>
      </c>
      <c r="U39" s="224"/>
      <c r="V39" s="224">
        <v>-67</v>
      </c>
      <c r="W39" s="224">
        <v>0</v>
      </c>
      <c r="X39" s="224">
        <v>392</v>
      </c>
      <c r="Y39" s="224">
        <v>0</v>
      </c>
      <c r="Z39" s="224">
        <v>0</v>
      </c>
      <c r="AA39" s="224">
        <v>-67</v>
      </c>
      <c r="AB39" s="224">
        <v>-67</v>
      </c>
      <c r="AC39" s="224">
        <v>-67</v>
      </c>
      <c r="AD39" s="224">
        <v>-67</v>
      </c>
      <c r="AE39" s="224">
        <v>-67</v>
      </c>
      <c r="AF39" s="224">
        <v>-57</v>
      </c>
      <c r="AG39" s="225">
        <v>6.9</v>
      </c>
      <c r="AH39" s="97">
        <f t="shared" si="0"/>
        <v>-776</v>
      </c>
    </row>
    <row r="40" spans="1:34">
      <c r="A40" s="223" t="s">
        <v>882</v>
      </c>
      <c r="B40" s="224">
        <v>0</v>
      </c>
      <c r="C40" s="224">
        <v>0</v>
      </c>
      <c r="D40" s="223">
        <v>1</v>
      </c>
      <c r="E40" s="224">
        <v>0</v>
      </c>
      <c r="F40" s="224">
        <v>0</v>
      </c>
      <c r="G40" s="224">
        <v>0</v>
      </c>
      <c r="H40" s="224">
        <v>0</v>
      </c>
      <c r="I40" s="224">
        <v>0</v>
      </c>
      <c r="J40" s="224">
        <v>0</v>
      </c>
      <c r="K40" s="224">
        <v>0</v>
      </c>
      <c r="L40" s="224">
        <v>0</v>
      </c>
      <c r="M40" s="224">
        <v>0</v>
      </c>
      <c r="N40" s="224">
        <v>0</v>
      </c>
      <c r="O40" s="224">
        <v>0</v>
      </c>
      <c r="P40" s="224">
        <v>0</v>
      </c>
      <c r="Q40" s="224">
        <v>0</v>
      </c>
      <c r="R40" s="224">
        <v>0</v>
      </c>
      <c r="S40" s="224">
        <v>0</v>
      </c>
      <c r="T40" s="224">
        <v>0</v>
      </c>
      <c r="U40" s="224"/>
      <c r="V40" s="224">
        <v>0</v>
      </c>
      <c r="W40" s="224">
        <v>0</v>
      </c>
      <c r="X40" s="224">
        <v>0</v>
      </c>
      <c r="Y40" s="224">
        <v>0</v>
      </c>
      <c r="Z40" s="224">
        <v>0</v>
      </c>
      <c r="AA40" s="224">
        <v>0</v>
      </c>
      <c r="AB40" s="224">
        <v>0</v>
      </c>
      <c r="AC40" s="224">
        <v>0</v>
      </c>
      <c r="AD40" s="224">
        <v>0</v>
      </c>
      <c r="AE40" s="224">
        <v>0</v>
      </c>
      <c r="AF40" s="224">
        <v>0</v>
      </c>
      <c r="AG40" s="225">
        <v>2.9</v>
      </c>
      <c r="AH40" s="97">
        <f t="shared" si="0"/>
        <v>0</v>
      </c>
    </row>
    <row r="41" spans="1:34">
      <c r="A41" s="223" t="s">
        <v>883</v>
      </c>
      <c r="B41" s="224">
        <v>2</v>
      </c>
      <c r="C41" s="224">
        <v>0</v>
      </c>
      <c r="D41" s="223">
        <v>18</v>
      </c>
      <c r="E41" s="224">
        <v>35523</v>
      </c>
      <c r="F41" s="224">
        <v>37573</v>
      </c>
      <c r="G41" s="224">
        <v>1755</v>
      </c>
      <c r="H41" s="224">
        <v>925</v>
      </c>
      <c r="I41" s="224">
        <v>-2905</v>
      </c>
      <c r="J41" s="224">
        <v>40914</v>
      </c>
      <c r="K41" s="224">
        <v>31030</v>
      </c>
      <c r="L41" s="224">
        <v>35523</v>
      </c>
      <c r="M41" s="224">
        <v>35523</v>
      </c>
      <c r="N41" s="224">
        <v>1079</v>
      </c>
      <c r="O41" s="224">
        <v>1116</v>
      </c>
      <c r="P41" s="224">
        <v>0</v>
      </c>
      <c r="Q41" s="224">
        <v>0</v>
      </c>
      <c r="R41" s="224">
        <v>-3345</v>
      </c>
      <c r="S41" s="224">
        <v>-900</v>
      </c>
      <c r="T41" s="224">
        <v>0</v>
      </c>
      <c r="U41" s="224"/>
      <c r="V41" s="224">
        <v>-440</v>
      </c>
      <c r="W41" s="224">
        <v>0</v>
      </c>
      <c r="X41" s="224">
        <v>2905</v>
      </c>
      <c r="Y41" s="224">
        <v>0</v>
      </c>
      <c r="Z41" s="224">
        <v>0</v>
      </c>
      <c r="AA41" s="224">
        <v>-440</v>
      </c>
      <c r="AB41" s="224">
        <v>-440</v>
      </c>
      <c r="AC41" s="224">
        <v>-440</v>
      </c>
      <c r="AD41" s="224">
        <v>-440</v>
      </c>
      <c r="AE41" s="224">
        <v>-440</v>
      </c>
      <c r="AF41" s="224">
        <v>-705</v>
      </c>
      <c r="AG41" s="225">
        <v>7.6</v>
      </c>
      <c r="AH41" s="97">
        <f t="shared" si="0"/>
        <v>-2050</v>
      </c>
    </row>
    <row r="42" spans="1:34">
      <c r="A42" s="223" t="s">
        <v>884</v>
      </c>
      <c r="B42" s="224">
        <v>3</v>
      </c>
      <c r="C42" s="224">
        <v>0</v>
      </c>
      <c r="D42" s="223">
        <v>22</v>
      </c>
      <c r="E42" s="224">
        <v>55423</v>
      </c>
      <c r="F42" s="224">
        <v>57883</v>
      </c>
      <c r="G42" s="224">
        <v>2632</v>
      </c>
      <c r="H42" s="224">
        <v>1537.5</v>
      </c>
      <c r="I42" s="224">
        <v>-4042</v>
      </c>
      <c r="J42" s="224">
        <v>62990</v>
      </c>
      <c r="K42" s="224">
        <v>48945</v>
      </c>
      <c r="L42" s="224">
        <v>55423</v>
      </c>
      <c r="M42" s="224">
        <v>55423</v>
      </c>
      <c r="N42" s="224">
        <v>1574</v>
      </c>
      <c r="O42" s="224">
        <v>1721</v>
      </c>
      <c r="P42" s="224">
        <v>0</v>
      </c>
      <c r="Q42" s="224">
        <v>0</v>
      </c>
      <c r="R42" s="224">
        <v>-4705</v>
      </c>
      <c r="S42" s="224">
        <v>-1050</v>
      </c>
      <c r="T42" s="224">
        <v>0</v>
      </c>
      <c r="U42" s="224"/>
      <c r="V42" s="224">
        <v>-663</v>
      </c>
      <c r="W42" s="224">
        <v>0</v>
      </c>
      <c r="X42" s="224">
        <v>4042</v>
      </c>
      <c r="Y42" s="224">
        <v>0</v>
      </c>
      <c r="Z42" s="224">
        <v>0</v>
      </c>
      <c r="AA42" s="224">
        <v>-663</v>
      </c>
      <c r="AB42" s="224">
        <v>-663</v>
      </c>
      <c r="AC42" s="224">
        <v>-663</v>
      </c>
      <c r="AD42" s="224">
        <v>-663</v>
      </c>
      <c r="AE42" s="224">
        <v>-663</v>
      </c>
      <c r="AF42" s="224">
        <v>-727</v>
      </c>
      <c r="AG42" s="225">
        <v>7.1</v>
      </c>
      <c r="AH42" s="97">
        <f t="shared" si="0"/>
        <v>-2460</v>
      </c>
    </row>
    <row r="43" spans="1:34">
      <c r="A43" s="223" t="s">
        <v>885</v>
      </c>
      <c r="B43" s="224">
        <v>2</v>
      </c>
      <c r="C43" s="224">
        <v>0</v>
      </c>
      <c r="D43" s="223">
        <v>180</v>
      </c>
      <c r="E43" s="224">
        <v>171119</v>
      </c>
      <c r="F43" s="224">
        <v>178934</v>
      </c>
      <c r="G43" s="224">
        <v>12125</v>
      </c>
      <c r="H43" s="224">
        <v>1250</v>
      </c>
      <c r="I43" s="224">
        <v>-18565</v>
      </c>
      <c r="J43" s="224">
        <v>204720</v>
      </c>
      <c r="K43" s="224">
        <v>143816</v>
      </c>
      <c r="L43" s="224">
        <v>171119</v>
      </c>
      <c r="M43" s="224">
        <v>171119</v>
      </c>
      <c r="N43" s="224">
        <v>8797</v>
      </c>
      <c r="O43" s="224">
        <v>5462</v>
      </c>
      <c r="P43" s="224">
        <v>0</v>
      </c>
      <c r="Q43" s="224">
        <v>0</v>
      </c>
      <c r="R43" s="224">
        <v>-20699</v>
      </c>
      <c r="S43" s="224">
        <v>-1375</v>
      </c>
      <c r="T43" s="224">
        <v>0</v>
      </c>
      <c r="U43" s="224"/>
      <c r="V43" s="224">
        <v>-2134</v>
      </c>
      <c r="W43" s="224">
        <v>0</v>
      </c>
      <c r="X43" s="224">
        <v>18565</v>
      </c>
      <c r="Y43" s="224">
        <v>0</v>
      </c>
      <c r="Z43" s="224">
        <v>0</v>
      </c>
      <c r="AA43" s="224">
        <v>-2134</v>
      </c>
      <c r="AB43" s="224">
        <v>-2134</v>
      </c>
      <c r="AC43" s="224">
        <v>-2134</v>
      </c>
      <c r="AD43" s="224">
        <v>-2134</v>
      </c>
      <c r="AE43" s="224">
        <v>-2134</v>
      </c>
      <c r="AF43" s="224">
        <v>-7895</v>
      </c>
      <c r="AG43" s="225">
        <v>9.6999999999999993</v>
      </c>
      <c r="AH43" s="97">
        <f t="shared" si="0"/>
        <v>-7815</v>
      </c>
    </row>
    <row r="44" spans="1:34">
      <c r="A44" s="223" t="s">
        <v>886</v>
      </c>
      <c r="B44" s="224">
        <v>0</v>
      </c>
      <c r="C44" s="224">
        <v>0</v>
      </c>
      <c r="D44" s="223">
        <v>150</v>
      </c>
      <c r="E44" s="224">
        <v>72811</v>
      </c>
      <c r="F44" s="224">
        <v>75366</v>
      </c>
      <c r="G44" s="224">
        <v>6238</v>
      </c>
      <c r="H44" s="224">
        <v>100</v>
      </c>
      <c r="I44" s="224">
        <v>-8793</v>
      </c>
      <c r="J44" s="224">
        <v>88590</v>
      </c>
      <c r="K44" s="224">
        <v>60328</v>
      </c>
      <c r="L44" s="224">
        <v>72811</v>
      </c>
      <c r="M44" s="224">
        <v>72811</v>
      </c>
      <c r="N44" s="224">
        <v>4861</v>
      </c>
      <c r="O44" s="224">
        <v>2343</v>
      </c>
      <c r="P44" s="224">
        <v>0</v>
      </c>
      <c r="Q44" s="224">
        <v>0</v>
      </c>
      <c r="R44" s="224">
        <v>-9759</v>
      </c>
      <c r="S44" s="224">
        <v>0</v>
      </c>
      <c r="T44" s="224">
        <v>0</v>
      </c>
      <c r="U44" s="224"/>
      <c r="V44" s="224">
        <v>-966</v>
      </c>
      <c r="W44" s="224">
        <v>0</v>
      </c>
      <c r="X44" s="224">
        <v>8793</v>
      </c>
      <c r="Y44" s="224">
        <v>0</v>
      </c>
      <c r="Z44" s="224">
        <v>0</v>
      </c>
      <c r="AA44" s="224">
        <v>-966</v>
      </c>
      <c r="AB44" s="224">
        <v>-966</v>
      </c>
      <c r="AC44" s="224">
        <v>-966</v>
      </c>
      <c r="AD44" s="224">
        <v>-966</v>
      </c>
      <c r="AE44" s="224">
        <v>-966</v>
      </c>
      <c r="AF44" s="224">
        <v>-3963</v>
      </c>
      <c r="AG44" s="225">
        <v>10.1</v>
      </c>
      <c r="AH44" s="97">
        <f t="shared" si="0"/>
        <v>-2555</v>
      </c>
    </row>
    <row r="45" spans="1:34">
      <c r="A45" s="223" t="s">
        <v>887</v>
      </c>
      <c r="B45" s="224">
        <v>1</v>
      </c>
      <c r="C45" s="224">
        <v>0</v>
      </c>
      <c r="D45" s="223">
        <v>53</v>
      </c>
      <c r="E45" s="224">
        <v>59006</v>
      </c>
      <c r="F45" s="224">
        <v>62895</v>
      </c>
      <c r="G45" s="224">
        <v>3637</v>
      </c>
      <c r="H45" s="224">
        <v>287.5</v>
      </c>
      <c r="I45" s="224">
        <v>-7526</v>
      </c>
      <c r="J45" s="224">
        <v>72733</v>
      </c>
      <c r="K45" s="224">
        <v>48027</v>
      </c>
      <c r="L45" s="224">
        <v>59006</v>
      </c>
      <c r="M45" s="224">
        <v>59006</v>
      </c>
      <c r="N45" s="224">
        <v>2590</v>
      </c>
      <c r="O45" s="224">
        <v>1912</v>
      </c>
      <c r="P45" s="224">
        <v>0</v>
      </c>
      <c r="Q45" s="224">
        <v>0</v>
      </c>
      <c r="R45" s="224">
        <v>-8391</v>
      </c>
      <c r="S45" s="224">
        <v>0</v>
      </c>
      <c r="T45" s="224">
        <v>0</v>
      </c>
      <c r="U45" s="224"/>
      <c r="V45" s="224">
        <v>-865</v>
      </c>
      <c r="W45" s="224">
        <v>0</v>
      </c>
      <c r="X45" s="224">
        <v>7526</v>
      </c>
      <c r="Y45" s="224">
        <v>0</v>
      </c>
      <c r="Z45" s="224">
        <v>0</v>
      </c>
      <c r="AA45" s="224">
        <v>-865</v>
      </c>
      <c r="AB45" s="224">
        <v>-865</v>
      </c>
      <c r="AC45" s="224">
        <v>-865</v>
      </c>
      <c r="AD45" s="224">
        <v>-865</v>
      </c>
      <c r="AE45" s="224">
        <v>-865</v>
      </c>
      <c r="AF45" s="224">
        <v>-3201</v>
      </c>
      <c r="AG45" s="225">
        <v>9.6999999999999993</v>
      </c>
      <c r="AH45" s="97">
        <f t="shared" si="0"/>
        <v>-3889</v>
      </c>
    </row>
    <row r="46" spans="1:34">
      <c r="A46" s="223" t="s">
        <v>888</v>
      </c>
      <c r="B46" s="224">
        <v>0</v>
      </c>
      <c r="C46" s="224">
        <v>0</v>
      </c>
      <c r="D46" s="223">
        <v>119</v>
      </c>
      <c r="E46" s="224">
        <v>74544</v>
      </c>
      <c r="F46" s="224">
        <v>77526</v>
      </c>
      <c r="G46" s="224">
        <v>6247</v>
      </c>
      <c r="H46" s="224">
        <v>87.5</v>
      </c>
      <c r="I46" s="224">
        <v>-9229</v>
      </c>
      <c r="J46" s="224">
        <v>91101</v>
      </c>
      <c r="K46" s="224">
        <v>61328</v>
      </c>
      <c r="L46" s="224">
        <v>74544</v>
      </c>
      <c r="M46" s="224">
        <v>74544</v>
      </c>
      <c r="N46" s="224">
        <v>4786</v>
      </c>
      <c r="O46" s="224">
        <v>2403</v>
      </c>
      <c r="P46" s="224">
        <v>0</v>
      </c>
      <c r="Q46" s="224">
        <v>0</v>
      </c>
      <c r="R46" s="224">
        <v>-10171</v>
      </c>
      <c r="S46" s="224">
        <v>0</v>
      </c>
      <c r="T46" s="224">
        <v>0</v>
      </c>
      <c r="U46" s="224"/>
      <c r="V46" s="224">
        <v>-942</v>
      </c>
      <c r="W46" s="224">
        <v>0</v>
      </c>
      <c r="X46" s="224">
        <v>9229</v>
      </c>
      <c r="Y46" s="224">
        <v>0</v>
      </c>
      <c r="Z46" s="224">
        <v>0</v>
      </c>
      <c r="AA46" s="224">
        <v>-942</v>
      </c>
      <c r="AB46" s="224">
        <v>-942</v>
      </c>
      <c r="AC46" s="224">
        <v>-942</v>
      </c>
      <c r="AD46" s="224">
        <v>-942</v>
      </c>
      <c r="AE46" s="224">
        <v>-942</v>
      </c>
      <c r="AF46" s="224">
        <v>-4519</v>
      </c>
      <c r="AG46" s="225">
        <v>10.8</v>
      </c>
      <c r="AH46" s="97">
        <f t="shared" si="0"/>
        <v>-2982</v>
      </c>
    </row>
    <row r="47" spans="1:34">
      <c r="A47" s="223" t="s">
        <v>889</v>
      </c>
      <c r="B47" s="224">
        <v>0</v>
      </c>
      <c r="C47" s="224">
        <v>0</v>
      </c>
      <c r="D47" s="223">
        <v>3030</v>
      </c>
      <c r="E47" s="224">
        <v>2089877</v>
      </c>
      <c r="F47" s="224">
        <v>2150269</v>
      </c>
      <c r="G47" s="224">
        <v>170985</v>
      </c>
      <c r="H47" s="224">
        <v>2525</v>
      </c>
      <c r="I47" s="224">
        <v>-231377</v>
      </c>
      <c r="J47" s="224">
        <v>2511740</v>
      </c>
      <c r="K47" s="224">
        <v>1750447</v>
      </c>
      <c r="L47" s="224">
        <v>2089877</v>
      </c>
      <c r="M47" s="224">
        <v>2089877</v>
      </c>
      <c r="N47" s="224">
        <v>132544</v>
      </c>
      <c r="O47" s="224">
        <v>66658</v>
      </c>
      <c r="P47" s="224">
        <v>0</v>
      </c>
      <c r="Q47" s="224">
        <v>0</v>
      </c>
      <c r="R47" s="224">
        <v>-259594</v>
      </c>
      <c r="S47" s="224">
        <v>0</v>
      </c>
      <c r="T47" s="224">
        <v>0</v>
      </c>
      <c r="U47" s="224"/>
      <c r="V47" s="224">
        <v>-28217</v>
      </c>
      <c r="W47" s="224">
        <v>0</v>
      </c>
      <c r="X47" s="224">
        <v>231377</v>
      </c>
      <c r="Y47" s="224">
        <v>0</v>
      </c>
      <c r="Z47" s="224">
        <v>0</v>
      </c>
      <c r="AA47" s="224">
        <v>-28217</v>
      </c>
      <c r="AB47" s="224">
        <v>-28217</v>
      </c>
      <c r="AC47" s="224">
        <v>-28217</v>
      </c>
      <c r="AD47" s="224">
        <v>-28217</v>
      </c>
      <c r="AE47" s="224">
        <v>-28217</v>
      </c>
      <c r="AF47" s="224">
        <v>-90292</v>
      </c>
      <c r="AG47" s="225">
        <v>9.1999999999999993</v>
      </c>
      <c r="AH47" s="97">
        <f t="shared" si="0"/>
        <v>-60392</v>
      </c>
    </row>
    <row r="48" spans="1:34">
      <c r="A48" s="223" t="s">
        <v>890</v>
      </c>
      <c r="B48" s="224">
        <v>0</v>
      </c>
      <c r="C48" s="224">
        <v>0</v>
      </c>
      <c r="D48" s="223">
        <v>43</v>
      </c>
      <c r="E48" s="224">
        <v>29441</v>
      </c>
      <c r="F48" s="224">
        <v>30020</v>
      </c>
      <c r="G48" s="224">
        <v>2342</v>
      </c>
      <c r="H48" s="224">
        <v>62.5</v>
      </c>
      <c r="I48" s="224">
        <v>-2921</v>
      </c>
      <c r="J48" s="224">
        <v>34655</v>
      </c>
      <c r="K48" s="224">
        <v>24987</v>
      </c>
      <c r="L48" s="224">
        <v>29441</v>
      </c>
      <c r="M48" s="224">
        <v>29441</v>
      </c>
      <c r="N48" s="224">
        <v>1729</v>
      </c>
      <c r="O48" s="224">
        <v>927</v>
      </c>
      <c r="P48" s="224">
        <v>0</v>
      </c>
      <c r="Q48" s="224">
        <v>0</v>
      </c>
      <c r="R48" s="224">
        <v>-3235</v>
      </c>
      <c r="S48" s="224">
        <v>0</v>
      </c>
      <c r="T48" s="224">
        <v>0</v>
      </c>
      <c r="U48" s="224"/>
      <c r="V48" s="224">
        <v>-314</v>
      </c>
      <c r="W48" s="224">
        <v>0</v>
      </c>
      <c r="X48" s="224">
        <v>2921</v>
      </c>
      <c r="Y48" s="224">
        <v>0</v>
      </c>
      <c r="Z48" s="224">
        <v>0</v>
      </c>
      <c r="AA48" s="224">
        <v>-314</v>
      </c>
      <c r="AB48" s="224">
        <v>-314</v>
      </c>
      <c r="AC48" s="224">
        <v>-314</v>
      </c>
      <c r="AD48" s="224">
        <v>-314</v>
      </c>
      <c r="AE48" s="224">
        <v>-314</v>
      </c>
      <c r="AF48" s="224">
        <v>-1351</v>
      </c>
      <c r="AG48" s="225">
        <v>10.3</v>
      </c>
      <c r="AH48" s="97">
        <f t="shared" si="0"/>
        <v>-579</v>
      </c>
    </row>
    <row r="49" spans="1:33">
      <c r="A49" s="226" t="s">
        <v>92</v>
      </c>
      <c r="B49" s="227">
        <v>138</v>
      </c>
      <c r="C49" s="227">
        <v>25</v>
      </c>
      <c r="D49" s="227">
        <v>14603</v>
      </c>
      <c r="E49" s="227">
        <v>13558776</v>
      </c>
      <c r="F49" s="227">
        <v>14109464</v>
      </c>
      <c r="G49" s="227">
        <v>965178</v>
      </c>
      <c r="H49" s="227">
        <v>88300</v>
      </c>
      <c r="I49" s="227">
        <v>-1425941</v>
      </c>
      <c r="J49" s="228">
        <f>SUM(J4:J48)</f>
        <v>16165436</v>
      </c>
      <c r="K49" s="228">
        <v>11444949</v>
      </c>
      <c r="L49" s="228">
        <v>13558776</v>
      </c>
      <c r="M49" s="228">
        <v>13558776</v>
      </c>
      <c r="N49" s="228">
        <v>712428</v>
      </c>
      <c r="O49" s="228">
        <v>431487</v>
      </c>
      <c r="P49" s="228">
        <v>0</v>
      </c>
      <c r="Q49" s="228">
        <v>0</v>
      </c>
      <c r="R49" s="228">
        <v>-1604678</v>
      </c>
      <c r="S49" s="228">
        <v>-89925</v>
      </c>
      <c r="T49" s="228">
        <v>0</v>
      </c>
      <c r="U49" s="228"/>
      <c r="V49" s="228">
        <v>-178737</v>
      </c>
      <c r="W49" s="228">
        <v>0</v>
      </c>
      <c r="X49" s="228">
        <v>1425941</v>
      </c>
      <c r="Y49" s="228">
        <v>0</v>
      </c>
      <c r="Z49" s="228">
        <v>0</v>
      </c>
      <c r="AA49" s="228">
        <v>-178737</v>
      </c>
      <c r="AB49" s="228">
        <v>-178737</v>
      </c>
      <c r="AC49" s="228">
        <v>-178676</v>
      </c>
      <c r="AD49" s="228">
        <v>-178588</v>
      </c>
      <c r="AE49" s="228">
        <v>-178588</v>
      </c>
      <c r="AF49" s="228">
        <v>-532615</v>
      </c>
      <c r="AG49" s="229"/>
    </row>
  </sheetData>
  <sheetProtection password="C4C7" sheet="1" objects="1" scenarios="1"/>
  <mergeCells count="11">
    <mergeCell ref="AG2:AG3"/>
    <mergeCell ref="B2:D2"/>
    <mergeCell ref="E2:E3"/>
    <mergeCell ref="F2:F3"/>
    <mergeCell ref="G2:G3"/>
    <mergeCell ref="J2:M2"/>
    <mergeCell ref="N2:S2"/>
    <mergeCell ref="T2:V2"/>
    <mergeCell ref="W2:X2"/>
    <mergeCell ref="Y2:Z2"/>
    <mergeCell ref="AA2:A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Journal Entries LG</vt:lpstr>
      <vt:lpstr>Journal Entries TN</vt:lpstr>
      <vt:lpstr>75 LGOP Disclosures</vt:lpstr>
      <vt:lpstr>75 TN Plan Disclosures</vt:lpstr>
      <vt:lpstr>LGOP Results</vt:lpstr>
      <vt:lpstr>TNP Results</vt:lpstr>
    </vt:vector>
  </TitlesOfParts>
  <Company>State of Tennessee: Finance &amp;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 Boone</dc:creator>
  <cp:lastModifiedBy>Ike Boone</cp:lastModifiedBy>
  <dcterms:created xsi:type="dcterms:W3CDTF">2018-08-27T18:03:16Z</dcterms:created>
  <dcterms:modified xsi:type="dcterms:W3CDTF">2018-09-18T20:24:51Z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