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omptrollertn-my.sharepoint.com/personal/adam_tschida_cot_tn_gov/Documents/Documents/WebsiteDocs/"/>
    </mc:Choice>
  </mc:AlternateContent>
  <xr:revisionPtr revIDLastSave="0" documentId="8_{C1086455-5044-430F-9043-9E7F19C7672B}" xr6:coauthVersionLast="47" xr6:coauthVersionMax="47" xr10:uidLastSave="{00000000-0000-0000-0000-000000000000}"/>
  <bookViews>
    <workbookView xWindow="28680" yWindow="-120" windowWidth="29040" windowHeight="15720" tabRatio="780" activeTab="1" xr2:uid="{7D8081D0-73A0-4604-BB93-D62D3232973C}"/>
  </bookViews>
  <sheets>
    <sheet name="Information" sheetId="11" r:id="rId1"/>
    <sheet name="Step 1) Budget Summary" sheetId="16" r:id="rId2"/>
    <sheet name="Step 2) Debt Service" sheetId="13" r:id="rId3"/>
    <sheet name="Step 3) Cash Flow Tool" sheetId="7" r:id="rId4"/>
    <sheet name="Step 4) Cash Flow Printable" sheetId="10" r:id="rId5"/>
    <sheet name="Estimator | Property Tax" sheetId="5" r:id="rId6"/>
    <sheet name="Estimator | Sales Tax" sheetId="6" r:id="rId7"/>
    <sheet name="Estimator | City State Shared" sheetId="8" r:id="rId8"/>
    <sheet name="Estimator | Other Revenue" sheetId="18" r:id="rId9"/>
    <sheet name="FILTER_BRIDGE" sheetId="4"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8" l="1"/>
  <c r="G34" i="18"/>
  <c r="G35" i="18" s="1"/>
  <c r="F34" i="18"/>
  <c r="F35" i="18" s="1"/>
  <c r="E34" i="18"/>
  <c r="E35" i="18" s="1"/>
  <c r="D34" i="18"/>
  <c r="D35" i="18" s="1"/>
  <c r="C34" i="18"/>
  <c r="B34" i="18"/>
  <c r="H33" i="18"/>
  <c r="A54" i="18" s="1"/>
  <c r="A24" i="18"/>
  <c r="A25" i="18" s="1"/>
  <c r="A26" i="18" s="1"/>
  <c r="A27" i="18" s="1"/>
  <c r="A28" i="18" s="1"/>
  <c r="A29" i="18" s="1"/>
  <c r="B19" i="18"/>
  <c r="F51" i="18" s="1"/>
  <c r="A6" i="18"/>
  <c r="A2" i="18"/>
  <c r="F52" i="6"/>
  <c r="F54" i="18" l="1"/>
  <c r="I36" i="18" s="1"/>
  <c r="I37" i="18" s="1"/>
  <c r="C35" i="18"/>
  <c r="G33" i="18"/>
  <c r="F33" i="18" s="1"/>
  <c r="H34" i="18"/>
  <c r="D51" i="18"/>
  <c r="H43" i="18"/>
  <c r="I43" i="18"/>
  <c r="B27" i="8"/>
  <c r="C22" i="10"/>
  <c r="D22" i="10"/>
  <c r="E22" i="10"/>
  <c r="F22" i="10"/>
  <c r="G22" i="10"/>
  <c r="H22" i="10"/>
  <c r="I22" i="10"/>
  <c r="J22" i="10"/>
  <c r="K22" i="10"/>
  <c r="L22" i="10"/>
  <c r="M22" i="10"/>
  <c r="N22" i="10"/>
  <c r="O22" i="10"/>
  <c r="L45" i="16"/>
  <c r="L46" i="16"/>
  <c r="L47" i="16"/>
  <c r="L48" i="16"/>
  <c r="L49" i="16"/>
  <c r="L50" i="16"/>
  <c r="L51" i="16"/>
  <c r="L52" i="16"/>
  <c r="L53" i="16"/>
  <c r="L54" i="16"/>
  <c r="L55" i="16"/>
  <c r="L44" i="16"/>
  <c r="E38" i="7"/>
  <c r="E39" i="7" s="1"/>
  <c r="F38" i="7"/>
  <c r="F39" i="7" s="1"/>
  <c r="G38" i="7"/>
  <c r="G39" i="7" s="1"/>
  <c r="H38" i="7"/>
  <c r="H39" i="7" s="1"/>
  <c r="I38" i="7"/>
  <c r="I39" i="7" s="1"/>
  <c r="J38" i="7"/>
  <c r="J39" i="7" s="1"/>
  <c r="K38" i="7"/>
  <c r="K39" i="7" s="1"/>
  <c r="L38" i="7"/>
  <c r="L39" i="7" s="1"/>
  <c r="M38" i="7"/>
  <c r="M39" i="7" s="1"/>
  <c r="N38" i="7"/>
  <c r="N39" i="7" s="1"/>
  <c r="O38" i="7"/>
  <c r="O39" i="7" s="1"/>
  <c r="D38" i="7"/>
  <c r="D39" i="7" s="1"/>
  <c r="E28" i="7"/>
  <c r="E29" i="7" s="1"/>
  <c r="F28" i="7"/>
  <c r="F29" i="7" s="1"/>
  <c r="G28" i="7"/>
  <c r="G29" i="7" s="1"/>
  <c r="H28" i="7"/>
  <c r="H29" i="7" s="1"/>
  <c r="I28" i="7"/>
  <c r="I29" i="7" s="1"/>
  <c r="J28" i="7"/>
  <c r="J29" i="7" s="1"/>
  <c r="K28" i="7"/>
  <c r="K29" i="7" s="1"/>
  <c r="L28" i="7"/>
  <c r="L29" i="7" s="1"/>
  <c r="M28" i="7"/>
  <c r="M29" i="7" s="1"/>
  <c r="N28" i="7"/>
  <c r="N29" i="7" s="1"/>
  <c r="O28" i="7"/>
  <c r="O29" i="7" s="1"/>
  <c r="D28" i="7"/>
  <c r="A4" i="10"/>
  <c r="A4" i="7"/>
  <c r="A5" i="13"/>
  <c r="D2" i="4" a="1"/>
  <c r="D2" i="4" s="1"/>
  <c r="C2" i="4" a="1"/>
  <c r="C2" i="4" s="1"/>
  <c r="H56" i="16"/>
  <c r="I56" i="16"/>
  <c r="J56" i="16"/>
  <c r="I37" i="16"/>
  <c r="D56" i="16"/>
  <c r="K56" i="16"/>
  <c r="G56" i="16"/>
  <c r="E56" i="16"/>
  <c r="C56" i="16"/>
  <c r="B56" i="16"/>
  <c r="F55" i="16"/>
  <c r="F54" i="16"/>
  <c r="F53" i="16"/>
  <c r="F52" i="16"/>
  <c r="F51" i="16"/>
  <c r="F50" i="16"/>
  <c r="F49" i="16"/>
  <c r="F48" i="16"/>
  <c r="F47" i="16"/>
  <c r="M47" i="16" s="1"/>
  <c r="F46" i="16"/>
  <c r="F45" i="16"/>
  <c r="F44" i="16"/>
  <c r="J37" i="16"/>
  <c r="H37" i="16"/>
  <c r="F37" i="16"/>
  <c r="E37" i="16"/>
  <c r="D37" i="16"/>
  <c r="C37" i="16"/>
  <c r="B37" i="16"/>
  <c r="K36" i="16"/>
  <c r="G36" i="16"/>
  <c r="K35" i="16"/>
  <c r="G35" i="16"/>
  <c r="K34" i="16"/>
  <c r="G34" i="16"/>
  <c r="K33" i="16"/>
  <c r="G33" i="16"/>
  <c r="K32" i="16"/>
  <c r="G32" i="16"/>
  <c r="K31" i="16"/>
  <c r="G31" i="16"/>
  <c r="K30" i="16"/>
  <c r="G30" i="16"/>
  <c r="K29" i="16"/>
  <c r="G29" i="16"/>
  <c r="K28" i="16"/>
  <c r="G28" i="16"/>
  <c r="K27" i="16"/>
  <c r="G27" i="16"/>
  <c r="K26" i="16"/>
  <c r="G26" i="16"/>
  <c r="K25" i="16"/>
  <c r="G25" i="16"/>
  <c r="K24" i="16"/>
  <c r="G24" i="16"/>
  <c r="K23" i="16"/>
  <c r="G23" i="16"/>
  <c r="K22" i="16"/>
  <c r="G22" i="16"/>
  <c r="K21" i="16"/>
  <c r="G21" i="16"/>
  <c r="K20" i="16"/>
  <c r="G20" i="16"/>
  <c r="K19" i="16"/>
  <c r="G19" i="16"/>
  <c r="K18" i="16"/>
  <c r="G18" i="16"/>
  <c r="K17" i="16"/>
  <c r="G17" i="16"/>
  <c r="K16" i="16"/>
  <c r="G16" i="16"/>
  <c r="K15" i="16"/>
  <c r="G15" i="16"/>
  <c r="K14" i="16"/>
  <c r="G14" i="16"/>
  <c r="K13" i="16"/>
  <c r="G13" i="16"/>
  <c r="K12" i="16"/>
  <c r="G12" i="16"/>
  <c r="K11" i="16"/>
  <c r="G11" i="16"/>
  <c r="A2" i="16"/>
  <c r="A42" i="18" l="1"/>
  <c r="E33" i="18"/>
  <c r="H35" i="18"/>
  <c r="H37" i="18"/>
  <c r="P28" i="7"/>
  <c r="D29" i="7"/>
  <c r="P38" i="7"/>
  <c r="L27" i="16"/>
  <c r="N27" i="16" s="1"/>
  <c r="P27" i="16" s="1"/>
  <c r="L12" i="16"/>
  <c r="M12" i="16" s="1"/>
  <c r="O12" i="16" s="1"/>
  <c r="L20" i="16"/>
  <c r="N20" i="16" s="1"/>
  <c r="P20" i="16" s="1"/>
  <c r="L28" i="16"/>
  <c r="M28" i="16" s="1"/>
  <c r="O28" i="16" s="1"/>
  <c r="L32" i="16"/>
  <c r="N32" i="16" s="1"/>
  <c r="P32" i="16" s="1"/>
  <c r="L36" i="16"/>
  <c r="M36" i="16" s="1"/>
  <c r="O36" i="16" s="1"/>
  <c r="L21" i="16"/>
  <c r="N21" i="16" s="1"/>
  <c r="P21" i="16" s="1"/>
  <c r="M55" i="16"/>
  <c r="N55" i="16" s="1"/>
  <c r="O55" i="16" s="1"/>
  <c r="M45" i="16"/>
  <c r="N45" i="16" s="1"/>
  <c r="O45" i="16" s="1"/>
  <c r="M49" i="16"/>
  <c r="M53" i="16"/>
  <c r="N53" i="16" s="1"/>
  <c r="O53" i="16" s="1"/>
  <c r="L34" i="16"/>
  <c r="N34" i="16" s="1"/>
  <c r="P34" i="16" s="1"/>
  <c r="L26" i="16"/>
  <c r="N26" i="16" s="1"/>
  <c r="P26" i="16" s="1"/>
  <c r="M50" i="16"/>
  <c r="N50" i="16" s="1"/>
  <c r="O50" i="16" s="1"/>
  <c r="L15" i="16"/>
  <c r="M15" i="16" s="1"/>
  <c r="O15" i="16" s="1"/>
  <c r="L23" i="16"/>
  <c r="N23" i="16" s="1"/>
  <c r="P23" i="16" s="1"/>
  <c r="L17" i="16"/>
  <c r="M17" i="16" s="1"/>
  <c r="O17" i="16" s="1"/>
  <c r="L14" i="16"/>
  <c r="M14" i="16" s="1"/>
  <c r="O14" i="16" s="1"/>
  <c r="L18" i="16"/>
  <c r="N18" i="16" s="1"/>
  <c r="P18" i="16" s="1"/>
  <c r="L22" i="16"/>
  <c r="M22" i="16" s="1"/>
  <c r="O22" i="16" s="1"/>
  <c r="L33" i="16"/>
  <c r="M33" i="16" s="1"/>
  <c r="O33" i="16" s="1"/>
  <c r="M48" i="16"/>
  <c r="L31" i="16"/>
  <c r="N31" i="16" s="1"/>
  <c r="P31" i="16" s="1"/>
  <c r="N47" i="16"/>
  <c r="O47" i="16" s="1"/>
  <c r="L24" i="16"/>
  <c r="N24" i="16" s="1"/>
  <c r="P24" i="16" s="1"/>
  <c r="L56" i="16"/>
  <c r="M51" i="16"/>
  <c r="N51" i="16" s="1"/>
  <c r="O51" i="16" s="1"/>
  <c r="M54" i="16"/>
  <c r="K37" i="16"/>
  <c r="L25" i="16"/>
  <c r="N25" i="16" s="1"/>
  <c r="P25" i="16" s="1"/>
  <c r="L35" i="16"/>
  <c r="N35" i="16" s="1"/>
  <c r="P35" i="16" s="1"/>
  <c r="M52" i="16"/>
  <c r="N52" i="16" s="1"/>
  <c r="O52" i="16" s="1"/>
  <c r="L16" i="16"/>
  <c r="N16" i="16" s="1"/>
  <c r="P16" i="16" s="1"/>
  <c r="L19" i="16"/>
  <c r="M19" i="16" s="1"/>
  <c r="O19" i="16" s="1"/>
  <c r="L29" i="16"/>
  <c r="M29" i="16" s="1"/>
  <c r="O29" i="16" s="1"/>
  <c r="M46" i="16"/>
  <c r="N46" i="16" s="1"/>
  <c r="O46" i="16" s="1"/>
  <c r="L13" i="16"/>
  <c r="N13" i="16" s="1"/>
  <c r="P13" i="16" s="1"/>
  <c r="L30" i="16"/>
  <c r="N30" i="16" s="1"/>
  <c r="P30" i="16" s="1"/>
  <c r="F56" i="16"/>
  <c r="N49" i="16"/>
  <c r="O49" i="16" s="1"/>
  <c r="M44" i="16"/>
  <c r="L11" i="16"/>
  <c r="G37" i="16"/>
  <c r="A41" i="18" l="1"/>
  <c r="D33" i="18"/>
  <c r="E38" i="18"/>
  <c r="E39" i="18"/>
  <c r="E40" i="18"/>
  <c r="E41" i="18"/>
  <c r="E42" i="18"/>
  <c r="M20" i="16"/>
  <c r="O20" i="16" s="1"/>
  <c r="M32" i="16"/>
  <c r="O32" i="16" s="1"/>
  <c r="N22" i="16"/>
  <c r="P22" i="16" s="1"/>
  <c r="M27" i="16"/>
  <c r="O27" i="16" s="1"/>
  <c r="N33" i="16"/>
  <c r="P33" i="16" s="1"/>
  <c r="N12" i="16"/>
  <c r="P12" i="16" s="1"/>
  <c r="N14" i="16"/>
  <c r="P14" i="16" s="1"/>
  <c r="M34" i="16"/>
  <c r="O34" i="16" s="1"/>
  <c r="N28" i="16"/>
  <c r="P28" i="16" s="1"/>
  <c r="N36" i="16"/>
  <c r="P36" i="16" s="1"/>
  <c r="N29" i="16"/>
  <c r="P29" i="16" s="1"/>
  <c r="M23" i="16"/>
  <c r="O23" i="16" s="1"/>
  <c r="N15" i="16"/>
  <c r="P15" i="16" s="1"/>
  <c r="M31" i="16"/>
  <c r="O31" i="16" s="1"/>
  <c r="N48" i="16"/>
  <c r="O48" i="16" s="1"/>
  <c r="M21" i="16"/>
  <c r="O21" i="16" s="1"/>
  <c r="M25" i="16"/>
  <c r="O25" i="16" s="1"/>
  <c r="M26" i="16"/>
  <c r="O26" i="16" s="1"/>
  <c r="N54" i="16"/>
  <c r="O54" i="16" s="1"/>
  <c r="M18" i="16"/>
  <c r="O18" i="16" s="1"/>
  <c r="N17" i="16"/>
  <c r="P17" i="16" s="1"/>
  <c r="M24" i="16"/>
  <c r="O24" i="16" s="1"/>
  <c r="N19" i="16"/>
  <c r="P19" i="16" s="1"/>
  <c r="M35" i="16"/>
  <c r="O35" i="16" s="1"/>
  <c r="M16" i="16"/>
  <c r="O16" i="16" s="1"/>
  <c r="M13" i="16"/>
  <c r="O13" i="16" s="1"/>
  <c r="M30" i="16"/>
  <c r="O30" i="16" s="1"/>
  <c r="L37" i="16"/>
  <c r="N11" i="16"/>
  <c r="P11" i="16" s="1"/>
  <c r="M11" i="16"/>
  <c r="O11" i="16" s="1"/>
  <c r="M56" i="16"/>
  <c r="N44" i="16"/>
  <c r="O44" i="16" s="1"/>
  <c r="A40" i="18" l="1"/>
  <c r="C33" i="18"/>
  <c r="N56" i="16"/>
  <c r="M37" i="16"/>
  <c r="N37" i="16"/>
  <c r="B33" i="18" l="1"/>
  <c r="A39" i="18"/>
  <c r="A18" i="5"/>
  <c r="F4" i="5"/>
  <c r="A45" i="13"/>
  <c r="A46" i="13" a="1"/>
  <c r="A46" i="13" s="1"/>
  <c r="A47" i="13" s="1" a="1"/>
  <c r="A47" i="13" s="1"/>
  <c r="A44" i="13"/>
  <c r="E72" i="13"/>
  <c r="E73" i="13"/>
  <c r="B72" i="13"/>
  <c r="B73" i="13"/>
  <c r="D73" i="13"/>
  <c r="C73" i="13"/>
  <c r="D72" i="13"/>
  <c r="C72" i="13"/>
  <c r="H41" i="13"/>
  <c r="G41" i="13"/>
  <c r="F41" i="13"/>
  <c r="E41" i="13"/>
  <c r="D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A12" i="13"/>
  <c r="D7" i="13"/>
  <c r="A3" i="13"/>
  <c r="A9" i="5"/>
  <c r="B43" i="18" l="1"/>
  <c r="C43" i="18" s="1"/>
  <c r="D43" i="18" s="1"/>
  <c r="E43" i="18" s="1"/>
  <c r="F43" i="18" s="1"/>
  <c r="G43" i="18" s="1"/>
  <c r="A38" i="18"/>
  <c r="A48" i="13" a="1"/>
  <c r="A48" i="13" s="1"/>
  <c r="I41" i="13"/>
  <c r="E46" i="13"/>
  <c r="D46" i="13"/>
  <c r="C46" i="13"/>
  <c r="B46" i="13"/>
  <c r="C10" i="10"/>
  <c r="D44" i="7"/>
  <c r="D20" i="7"/>
  <c r="D46" i="7"/>
  <c r="D21" i="10"/>
  <c r="E21" i="10"/>
  <c r="F21" i="10"/>
  <c r="G21" i="10"/>
  <c r="H21" i="10"/>
  <c r="I21" i="10"/>
  <c r="J21" i="10"/>
  <c r="K21" i="10"/>
  <c r="L21" i="10"/>
  <c r="M21" i="10"/>
  <c r="N21" i="10"/>
  <c r="D23" i="10"/>
  <c r="E23" i="10"/>
  <c r="F23" i="10"/>
  <c r="G23" i="10"/>
  <c r="H23" i="10"/>
  <c r="I23" i="10"/>
  <c r="J23" i="10"/>
  <c r="K23" i="10"/>
  <c r="L23" i="10"/>
  <c r="M23" i="10"/>
  <c r="N23" i="10"/>
  <c r="C21" i="10"/>
  <c r="C23" i="10"/>
  <c r="D15" i="10"/>
  <c r="E15" i="10"/>
  <c r="F15" i="10"/>
  <c r="G15" i="10"/>
  <c r="H15" i="10"/>
  <c r="I15" i="10"/>
  <c r="J15" i="10"/>
  <c r="K15" i="10"/>
  <c r="L15" i="10"/>
  <c r="M15" i="10"/>
  <c r="N15" i="10"/>
  <c r="D16" i="10"/>
  <c r="E16" i="10"/>
  <c r="F16" i="10"/>
  <c r="G16" i="10"/>
  <c r="H16" i="10"/>
  <c r="I16" i="10"/>
  <c r="J16" i="10"/>
  <c r="K16" i="10"/>
  <c r="L16" i="10"/>
  <c r="M16" i="10"/>
  <c r="N16" i="10"/>
  <c r="C15" i="10"/>
  <c r="C16" i="10"/>
  <c r="A2" i="10"/>
  <c r="P50" i="7"/>
  <c r="O16" i="10" s="1"/>
  <c r="P49" i="7"/>
  <c r="O15" i="10" s="1"/>
  <c r="P36" i="7"/>
  <c r="P37" i="7"/>
  <c r="P25" i="7"/>
  <c r="P26" i="7"/>
  <c r="P27" i="7"/>
  <c r="D16" i="7"/>
  <c r="D15" i="7"/>
  <c r="D14" i="7"/>
  <c r="P33" i="7"/>
  <c r="P23" i="7"/>
  <c r="B32" i="8"/>
  <c r="B19" i="6"/>
  <c r="A49" i="13" l="1" a="1"/>
  <c r="A49" i="13" s="1"/>
  <c r="C48" i="13"/>
  <c r="D48" i="13"/>
  <c r="B48" i="13"/>
  <c r="E48" i="13"/>
  <c r="E47" i="13"/>
  <c r="D47" i="13"/>
  <c r="B47" i="13"/>
  <c r="C47" i="13"/>
  <c r="P29" i="7"/>
  <c r="A50" i="13" l="1" a="1"/>
  <c r="A50" i="13" s="1"/>
  <c r="B49" i="13"/>
  <c r="E49" i="13"/>
  <c r="C49" i="13"/>
  <c r="D49" i="13"/>
  <c r="P35" i="7"/>
  <c r="E30" i="7"/>
  <c r="M30" i="7"/>
  <c r="F30" i="7"/>
  <c r="N30" i="7"/>
  <c r="G30" i="7"/>
  <c r="O30" i="7"/>
  <c r="H30" i="7"/>
  <c r="I30" i="7"/>
  <c r="J30" i="7"/>
  <c r="K30" i="7"/>
  <c r="L30" i="7"/>
  <c r="D30" i="7"/>
  <c r="B23" i="8"/>
  <c r="B24" i="8"/>
  <c r="B25" i="8"/>
  <c r="B26" i="8"/>
  <c r="B22" i="8"/>
  <c r="A9" i="8"/>
  <c r="A8" i="8"/>
  <c r="A2" i="8"/>
  <c r="P39" i="7" l="1"/>
  <c r="D40" i="7" s="1"/>
  <c r="D54" i="7" s="1"/>
  <c r="A51" i="13" a="1"/>
  <c r="A51" i="13" s="1"/>
  <c r="E50" i="13"/>
  <c r="B50" i="13"/>
  <c r="C50" i="13"/>
  <c r="D50" i="13"/>
  <c r="B28" i="8"/>
  <c r="L40" i="7" l="1"/>
  <c r="J40" i="7"/>
  <c r="G40" i="7"/>
  <c r="I40" i="7"/>
  <c r="N40" i="7"/>
  <c r="F40" i="7"/>
  <c r="M40" i="7"/>
  <c r="H40" i="7"/>
  <c r="O40" i="7"/>
  <c r="K40" i="7"/>
  <c r="E40" i="7"/>
  <c r="A52" i="13" a="1"/>
  <c r="A52" i="13" s="1"/>
  <c r="E51" i="13"/>
  <c r="B51" i="13"/>
  <c r="D51" i="13"/>
  <c r="C51" i="13"/>
  <c r="A53" i="13" l="1" a="1"/>
  <c r="A53" i="13" s="1"/>
  <c r="E53" i="13" s="1"/>
  <c r="E52" i="13"/>
  <c r="B52" i="13"/>
  <c r="C52" i="13"/>
  <c r="D52" i="13"/>
  <c r="B53" i="13" l="1"/>
  <c r="A54" i="13"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D53" i="13"/>
  <c r="C53" i="13"/>
  <c r="B54" i="13" l="1"/>
  <c r="E54" i="13"/>
  <c r="B56" i="13"/>
  <c r="E56" i="13"/>
  <c r="B55" i="13"/>
  <c r="E55" i="13"/>
  <c r="B57" i="13"/>
  <c r="D54" i="13"/>
  <c r="C54" i="13"/>
  <c r="E57" i="13" l="1"/>
  <c r="B58" i="13"/>
  <c r="D55" i="13"/>
  <c r="C55" i="13"/>
  <c r="P57" i="7"/>
  <c r="O23" i="10" s="1"/>
  <c r="P55" i="7"/>
  <c r="O21" i="10" s="1"/>
  <c r="E59" i="13" l="1"/>
  <c r="E58" i="13"/>
  <c r="D56" i="13"/>
  <c r="C56" i="13"/>
  <c r="A2" i="7"/>
  <c r="F51" i="6"/>
  <c r="E2" i="4" l="1" a="1"/>
  <c r="E2" i="4" s="1"/>
  <c r="B59" i="13"/>
  <c r="E60" i="13"/>
  <c r="D57" i="13"/>
  <c r="C57" i="13"/>
  <c r="H33" i="6"/>
  <c r="A54" i="6" s="1"/>
  <c r="H34" i="6"/>
  <c r="G34" i="6"/>
  <c r="F34" i="6"/>
  <c r="E34" i="6"/>
  <c r="D34" i="6"/>
  <c r="C34" i="6"/>
  <c r="B34" i="6"/>
  <c r="A24" i="6"/>
  <c r="A25" i="6" s="1"/>
  <c r="A26" i="6" s="1"/>
  <c r="A27" i="6" s="1"/>
  <c r="A28" i="6" s="1"/>
  <c r="A29" i="6" s="1"/>
  <c r="A6" i="6"/>
  <c r="A2" i="6"/>
  <c r="B36" i="5"/>
  <c r="B37" i="5" s="1"/>
  <c r="C35" i="5"/>
  <c r="D35" i="5" s="1"/>
  <c r="C34" i="5"/>
  <c r="D34" i="5" s="1"/>
  <c r="C33" i="5"/>
  <c r="D33" i="5" s="1"/>
  <c r="C32" i="5"/>
  <c r="D32" i="5" s="1"/>
  <c r="C31" i="5"/>
  <c r="D31" i="5" s="1"/>
  <c r="C30" i="5"/>
  <c r="D30" i="5" s="1"/>
  <c r="C29" i="5"/>
  <c r="D29" i="5" s="1"/>
  <c r="C28" i="5"/>
  <c r="D28" i="5" s="1"/>
  <c r="C27" i="5"/>
  <c r="D27" i="5" s="1"/>
  <c r="C26" i="5"/>
  <c r="B14" i="5"/>
  <c r="B15" i="5" s="1"/>
  <c r="I43" i="6" l="1"/>
  <c r="H43" i="6"/>
  <c r="H37" i="6"/>
  <c r="I2" i="4" a="1"/>
  <c r="I2" i="4" s="1"/>
  <c r="B60" i="13"/>
  <c r="B61" i="13"/>
  <c r="D58" i="13"/>
  <c r="C58" i="13"/>
  <c r="D51" i="6"/>
  <c r="G33" i="6"/>
  <c r="C35" i="6"/>
  <c r="F35" i="6"/>
  <c r="D35" i="6"/>
  <c r="E35" i="6"/>
  <c r="G35" i="6"/>
  <c r="H35" i="6"/>
  <c r="C36" i="5"/>
  <c r="D26" i="5"/>
  <c r="D36" i="5" s="1"/>
  <c r="F33" i="6" l="1"/>
  <c r="I3" i="4" a="1"/>
  <c r="I3" i="4" s="1"/>
  <c r="I4" i="4" s="1" a="1"/>
  <c r="I4" i="4" s="1"/>
  <c r="K3" i="4"/>
  <c r="D61" i="13"/>
  <c r="C61" i="13"/>
  <c r="E61" i="13"/>
  <c r="D59" i="13"/>
  <c r="C59" i="13"/>
  <c r="E40" i="6"/>
  <c r="E39" i="6"/>
  <c r="E41" i="6"/>
  <c r="E38" i="6"/>
  <c r="E42" i="6"/>
  <c r="A2" i="5"/>
  <c r="E33" i="6" l="1"/>
  <c r="D33" i="6" s="1"/>
  <c r="A42" i="6"/>
  <c r="I5" i="4" a="1"/>
  <c r="I5" i="4" s="1"/>
  <c r="K4" i="4"/>
  <c r="J3" i="4"/>
  <c r="J4" i="4" s="1"/>
  <c r="E62" i="13"/>
  <c r="D62" i="13"/>
  <c r="C62" i="13"/>
  <c r="B62" i="13"/>
  <c r="B63" i="13"/>
  <c r="E63" i="13"/>
  <c r="C63" i="13"/>
  <c r="D63" i="13"/>
  <c r="C60" i="13"/>
  <c r="D60" i="13"/>
  <c r="F54" i="6"/>
  <c r="A41" i="6" l="1"/>
  <c r="A40" i="6"/>
  <c r="C33" i="6"/>
  <c r="B33" i="6" s="1"/>
  <c r="B43" i="6" s="1"/>
  <c r="C43" i="6" s="1"/>
  <c r="D43" i="6" s="1"/>
  <c r="E43" i="6" s="1"/>
  <c r="F43" i="6" s="1"/>
  <c r="G43" i="6" s="1"/>
  <c r="I36" i="6"/>
  <c r="I37" i="6" s="1"/>
  <c r="I6" i="4" a="1"/>
  <c r="I6" i="4" s="1"/>
  <c r="K5" i="4"/>
  <c r="E64" i="13"/>
  <c r="B64" i="13"/>
  <c r="C64" i="13"/>
  <c r="D64" i="13"/>
  <c r="P54" i="7"/>
  <c r="C12" i="10"/>
  <c r="A39" i="6" l="1"/>
  <c r="A38" i="6"/>
  <c r="I7" i="4" a="1"/>
  <c r="I7" i="4" s="1"/>
  <c r="I8" i="4" s="1" a="1"/>
  <c r="I8" i="4" s="1"/>
  <c r="I9" i="4" s="1" a="1"/>
  <c r="I9" i="4" s="1"/>
  <c r="I10" i="4" s="1" a="1"/>
  <c r="I10" i="4" s="1"/>
  <c r="I11" i="4" s="1" a="1"/>
  <c r="I11" i="4" s="1"/>
  <c r="I12" i="4" s="1" a="1"/>
  <c r="I12" i="4" s="1"/>
  <c r="I13" i="4" s="1" a="1"/>
  <c r="I13" i="4" s="1"/>
  <c r="I14" i="4" s="1" a="1"/>
  <c r="I14" i="4" s="1"/>
  <c r="I15" i="4" s="1" a="1"/>
  <c r="I15" i="4" s="1"/>
  <c r="I16" i="4" s="1" a="1"/>
  <c r="I16" i="4" s="1"/>
  <c r="I17" i="4" s="1" a="1"/>
  <c r="I17" i="4" s="1"/>
  <c r="I18" i="4" s="1" a="1"/>
  <c r="I18" i="4" s="1"/>
  <c r="I19" i="4" s="1" a="1"/>
  <c r="I19" i="4" s="1"/>
  <c r="I20" i="4" s="1" a="1"/>
  <c r="I20" i="4" s="1"/>
  <c r="I21" i="4" s="1" a="1"/>
  <c r="I21" i="4" s="1"/>
  <c r="I22" i="4" s="1" a="1"/>
  <c r="I22" i="4" s="1"/>
  <c r="I23" i="4" s="1" a="1"/>
  <c r="I23" i="4" s="1"/>
  <c r="I24" i="4" s="1" a="1"/>
  <c r="I24" i="4" s="1"/>
  <c r="I25" i="4" s="1" a="1"/>
  <c r="I25" i="4" s="1"/>
  <c r="I26" i="4" s="1" a="1"/>
  <c r="I26" i="4" s="1"/>
  <c r="I27" i="4" s="1" a="1"/>
  <c r="I27" i="4" s="1"/>
  <c r="I28" i="4" s="1" a="1"/>
  <c r="I28" i="4" s="1"/>
  <c r="I29" i="4" s="1" a="1"/>
  <c r="I29" i="4" s="1"/>
  <c r="I30" i="4" s="1" a="1"/>
  <c r="I30" i="4" s="1"/>
  <c r="I31" i="4" s="1" a="1"/>
  <c r="I31" i="4" s="1"/>
  <c r="I32" i="4" s="1" a="1"/>
  <c r="I32" i="4" s="1"/>
  <c r="I33" i="4" s="1" a="1"/>
  <c r="I33" i="4" s="1"/>
  <c r="I34" i="4" s="1" a="1"/>
  <c r="I34" i="4" s="1"/>
  <c r="I35" i="4" s="1" a="1"/>
  <c r="I35" i="4" s="1"/>
  <c r="I36" i="4" s="1" a="1"/>
  <c r="I36" i="4" s="1"/>
  <c r="I37" i="4" s="1" a="1"/>
  <c r="I37" i="4" s="1"/>
  <c r="I38" i="4" s="1" a="1"/>
  <c r="I38" i="4" s="1"/>
  <c r="I39" i="4" s="1" a="1"/>
  <c r="I39" i="4" s="1"/>
  <c r="I40" i="4" s="1" a="1"/>
  <c r="I40" i="4" s="1"/>
  <c r="I41" i="4" s="1" a="1"/>
  <c r="I41" i="4" s="1"/>
  <c r="I42" i="4" s="1" a="1"/>
  <c r="I42" i="4" s="1"/>
  <c r="I43" i="4" s="1" a="1"/>
  <c r="I43" i="4" s="1"/>
  <c r="I44" i="4" s="1" a="1"/>
  <c r="I44" i="4" s="1"/>
  <c r="I45" i="4" s="1" a="1"/>
  <c r="I45" i="4" s="1"/>
  <c r="I46" i="4" s="1" a="1"/>
  <c r="I46" i="4" s="1"/>
  <c r="I47" i="4" s="1" a="1"/>
  <c r="I47" i="4" s="1"/>
  <c r="I48" i="4" s="1" a="1"/>
  <c r="I48" i="4" s="1"/>
  <c r="I49" i="4" s="1" a="1"/>
  <c r="I49" i="4" s="1"/>
  <c r="I50" i="4" s="1" a="1"/>
  <c r="I50" i="4" s="1"/>
  <c r="I51" i="4" s="1" a="1"/>
  <c r="I51" i="4" s="1"/>
  <c r="I52" i="4" s="1" a="1"/>
  <c r="I52" i="4" s="1"/>
  <c r="I53" i="4" s="1" a="1"/>
  <c r="I53" i="4" s="1"/>
  <c r="I54" i="4" s="1" a="1"/>
  <c r="I54" i="4" s="1"/>
  <c r="I55" i="4" s="1" a="1"/>
  <c r="I55" i="4" s="1"/>
  <c r="I56" i="4" s="1" a="1"/>
  <c r="I56" i="4" s="1"/>
  <c r="I57" i="4" s="1" a="1"/>
  <c r="I57" i="4" s="1"/>
  <c r="I58" i="4" s="1" a="1"/>
  <c r="I58" i="4" s="1"/>
  <c r="I59" i="4" s="1" a="1"/>
  <c r="I59" i="4" s="1"/>
  <c r="I60" i="4" s="1" a="1"/>
  <c r="I60" i="4" s="1"/>
  <c r="I61" i="4" s="1" a="1"/>
  <c r="I61" i="4" s="1"/>
  <c r="I62" i="4" s="1" a="1"/>
  <c r="I62" i="4" s="1"/>
  <c r="I63" i="4" s="1" a="1"/>
  <c r="I63" i="4" s="1"/>
  <c r="I64" i="4" s="1" a="1"/>
  <c r="I64" i="4" s="1"/>
  <c r="I65" i="4" s="1" a="1"/>
  <c r="I65" i="4" s="1"/>
  <c r="I66" i="4" s="1" a="1"/>
  <c r="I66" i="4" s="1"/>
  <c r="I67" i="4" s="1" a="1"/>
  <c r="I67" i="4" s="1"/>
  <c r="I68" i="4" s="1" a="1"/>
  <c r="I68" i="4" s="1"/>
  <c r="I69" i="4" s="1" a="1"/>
  <c r="I69" i="4" s="1"/>
  <c r="I70" i="4" s="1" a="1"/>
  <c r="I70" i="4" s="1"/>
  <c r="I71" i="4" s="1" a="1"/>
  <c r="I71" i="4" s="1"/>
  <c r="K7" i="4"/>
  <c r="J5" i="4"/>
  <c r="J6" i="4" s="1"/>
  <c r="K6" i="4"/>
  <c r="E65" i="13"/>
  <c r="B65" i="13"/>
  <c r="D65" i="13"/>
  <c r="C65" i="13"/>
  <c r="P58" i="7"/>
  <c r="N54" i="7" s="1"/>
  <c r="O20" i="10"/>
  <c r="P48" i="7"/>
  <c r="O14" i="10" s="1"/>
  <c r="P46" i="7"/>
  <c r="O12" i="10" s="1"/>
  <c r="J7" i="4" l="1"/>
  <c r="K8" i="4"/>
  <c r="K9" i="4"/>
  <c r="E66" i="13"/>
  <c r="B66" i="13"/>
  <c r="C66" i="13"/>
  <c r="D66" i="13"/>
  <c r="M54" i="7"/>
  <c r="L20" i="10" s="1"/>
  <c r="G54" i="7"/>
  <c r="G58" i="7" s="1"/>
  <c r="F24" i="10" s="1"/>
  <c r="K54" i="7"/>
  <c r="J20" i="10" s="1"/>
  <c r="E54" i="7"/>
  <c r="E58" i="7" s="1"/>
  <c r="D24" i="10" s="1"/>
  <c r="H54" i="7"/>
  <c r="H58" i="7" s="1"/>
  <c r="G24" i="10" s="1"/>
  <c r="F54" i="7"/>
  <c r="F58" i="7" s="1"/>
  <c r="E24" i="10" s="1"/>
  <c r="I54" i="7"/>
  <c r="I58" i="7" s="1"/>
  <c r="H24" i="10" s="1"/>
  <c r="O54" i="7"/>
  <c r="O58" i="7" s="1"/>
  <c r="N24" i="10" s="1"/>
  <c r="J54" i="7"/>
  <c r="J58" i="7" s="1"/>
  <c r="I24" i="10" s="1"/>
  <c r="C20" i="10"/>
  <c r="N58" i="7"/>
  <c r="M24" i="10" s="1"/>
  <c r="M20" i="10"/>
  <c r="L54" i="7"/>
  <c r="O24" i="10"/>
  <c r="J8" i="4" l="1"/>
  <c r="E67" i="13"/>
  <c r="B67" i="13"/>
  <c r="D67" i="13"/>
  <c r="C67" i="13"/>
  <c r="M58" i="7"/>
  <c r="L24" i="10" s="1"/>
  <c r="K58" i="7"/>
  <c r="J24" i="10" s="1"/>
  <c r="D58" i="7"/>
  <c r="C24" i="10" s="1"/>
  <c r="F20" i="10"/>
  <c r="N20" i="10"/>
  <c r="E20" i="10"/>
  <c r="D20" i="10"/>
  <c r="G20" i="10"/>
  <c r="I20" i="10"/>
  <c r="H20" i="10"/>
  <c r="L58" i="7"/>
  <c r="K24" i="10" s="1"/>
  <c r="K20" i="10"/>
  <c r="J9" i="4" l="1"/>
  <c r="J10" i="4" s="1"/>
  <c r="K10" i="4"/>
  <c r="B68" i="13"/>
  <c r="E68" i="13"/>
  <c r="D68" i="13"/>
  <c r="C68" i="13"/>
  <c r="J11" i="4" l="1"/>
  <c r="K11" i="4"/>
  <c r="B69" i="13"/>
  <c r="D69" i="13"/>
  <c r="C69" i="13"/>
  <c r="E69" i="13"/>
  <c r="P51" i="7"/>
  <c r="O17" i="10" s="1"/>
  <c r="K13" i="4" l="1"/>
  <c r="K12" i="4"/>
  <c r="C70" i="13"/>
  <c r="D70" i="13"/>
  <c r="B70" i="13"/>
  <c r="E70" i="13"/>
  <c r="M48" i="7"/>
  <c r="L14" i="10" s="1"/>
  <c r="P52" i="7"/>
  <c r="K48" i="7"/>
  <c r="J14" i="10" s="1"/>
  <c r="F48" i="7"/>
  <c r="E14" i="10" s="1"/>
  <c r="L48" i="7"/>
  <c r="K14" i="10" s="1"/>
  <c r="J48" i="7"/>
  <c r="I14" i="10" s="1"/>
  <c r="P60" i="7"/>
  <c r="O26" i="10" s="1"/>
  <c r="I48" i="7"/>
  <c r="H14" i="10" s="1"/>
  <c r="G48" i="7"/>
  <c r="F14" i="10" s="1"/>
  <c r="E48" i="7"/>
  <c r="D14" i="10" s="1"/>
  <c r="O48" i="7"/>
  <c r="N14" i="10" s="1"/>
  <c r="N48" i="7"/>
  <c r="M14" i="10" s="1"/>
  <c r="H48" i="7"/>
  <c r="G14" i="10" s="1"/>
  <c r="J12" i="4" l="1"/>
  <c r="B71" i="13"/>
  <c r="E71" i="13"/>
  <c r="D71" i="13"/>
  <c r="C71" i="13"/>
  <c r="P59" i="7"/>
  <c r="O25" i="10" s="1"/>
  <c r="O18" i="10"/>
  <c r="J51" i="7"/>
  <c r="I17" i="10" s="1"/>
  <c r="L51" i="7"/>
  <c r="K17" i="10" s="1"/>
  <c r="F51" i="7"/>
  <c r="E17" i="10" s="1"/>
  <c r="I51" i="7"/>
  <c r="H17" i="10" s="1"/>
  <c r="H51" i="7"/>
  <c r="G17" i="10" s="1"/>
  <c r="N51" i="7"/>
  <c r="M17" i="10" s="1"/>
  <c r="O51" i="7"/>
  <c r="N17" i="10" s="1"/>
  <c r="K51" i="7"/>
  <c r="J17" i="10" s="1"/>
  <c r="E51" i="7"/>
  <c r="D17" i="10" s="1"/>
  <c r="G51" i="7"/>
  <c r="F17" i="10" s="1"/>
  <c r="M51" i="7"/>
  <c r="L17" i="10" s="1"/>
  <c r="D48" i="7"/>
  <c r="J13" i="4" l="1"/>
  <c r="J14" i="4"/>
  <c r="K15" i="4"/>
  <c r="K14" i="4"/>
  <c r="K16" i="4"/>
  <c r="J15" i="4"/>
  <c r="O60" i="7"/>
  <c r="N26" i="10" s="1"/>
  <c r="N60" i="7"/>
  <c r="M26" i="10" s="1"/>
  <c r="I60" i="7"/>
  <c r="H26" i="10" s="1"/>
  <c r="M60" i="7"/>
  <c r="L26" i="10" s="1"/>
  <c r="F60" i="7"/>
  <c r="E26" i="10" s="1"/>
  <c r="H60" i="7"/>
  <c r="G26" i="10" s="1"/>
  <c r="G60" i="7"/>
  <c r="F26" i="10" s="1"/>
  <c r="L60" i="7"/>
  <c r="K26" i="10" s="1"/>
  <c r="E60" i="7"/>
  <c r="D26" i="10" s="1"/>
  <c r="J60" i="7"/>
  <c r="I26" i="10" s="1"/>
  <c r="K60" i="7"/>
  <c r="J26" i="10" s="1"/>
  <c r="D51" i="7"/>
  <c r="C17" i="10" s="1"/>
  <c r="C14" i="10"/>
  <c r="K17" i="4" l="1"/>
  <c r="J16" i="4"/>
  <c r="D60" i="7"/>
  <c r="C26" i="10" s="1"/>
  <c r="D52" i="7"/>
  <c r="K18" i="4" l="1"/>
  <c r="J17" i="4"/>
  <c r="D59" i="7"/>
  <c r="C25" i="10" s="1"/>
  <c r="C18" i="10"/>
  <c r="K19" i="4" l="1"/>
  <c r="J18" i="4"/>
  <c r="E46" i="7"/>
  <c r="E52" i="7" s="1"/>
  <c r="E59" i="7" s="1"/>
  <c r="D25" i="10" s="1"/>
  <c r="K20" i="4" l="1"/>
  <c r="J19" i="4"/>
  <c r="D18" i="10"/>
  <c r="D12" i="10"/>
  <c r="F46" i="7"/>
  <c r="E12" i="10" s="1"/>
  <c r="K21" i="4" l="1"/>
  <c r="J20" i="4"/>
  <c r="F52" i="7"/>
  <c r="E18" i="10" s="1"/>
  <c r="K22" i="4" l="1"/>
  <c r="J21" i="4"/>
  <c r="F59" i="7"/>
  <c r="K23" i="4" l="1"/>
  <c r="J22" i="4"/>
  <c r="G46" i="7"/>
  <c r="F12" i="10" s="1"/>
  <c r="E25" i="10"/>
  <c r="K24" i="4" l="1"/>
  <c r="J23" i="4"/>
  <c r="G52" i="7"/>
  <c r="F18" i="10" s="1"/>
  <c r="K25" i="4" l="1"/>
  <c r="J24" i="4"/>
  <c r="G59" i="7"/>
  <c r="H46" i="7" s="1"/>
  <c r="G12" i="10" s="1"/>
  <c r="K26" i="4" l="1"/>
  <c r="J25" i="4"/>
  <c r="F25" i="10"/>
  <c r="H52" i="7"/>
  <c r="G18" i="10" s="1"/>
  <c r="K27" i="4" l="1"/>
  <c r="J26" i="4"/>
  <c r="H59" i="7"/>
  <c r="I46" i="7" s="1"/>
  <c r="I52" i="7" s="1"/>
  <c r="K28" i="4" l="1"/>
  <c r="J27" i="4"/>
  <c r="H18" i="10"/>
  <c r="I59" i="7"/>
  <c r="H25" i="10" s="1"/>
  <c r="G25" i="10"/>
  <c r="H12" i="10"/>
  <c r="K29" i="4" l="1"/>
  <c r="J28" i="4"/>
  <c r="J46" i="7"/>
  <c r="J52" i="7" s="1"/>
  <c r="J59" i="7" s="1"/>
  <c r="I25" i="10" s="1"/>
  <c r="K30" i="4" l="1"/>
  <c r="J29" i="4"/>
  <c r="I18" i="10"/>
  <c r="I12" i="10"/>
  <c r="K46" i="7"/>
  <c r="J12" i="10" s="1"/>
  <c r="K31" i="4" l="1"/>
  <c r="J30" i="4"/>
  <c r="K52" i="7"/>
  <c r="K59" i="7" s="1"/>
  <c r="J25" i="10" s="1"/>
  <c r="K32" i="4" l="1"/>
  <c r="J31" i="4"/>
  <c r="J18" i="10"/>
  <c r="L46" i="7"/>
  <c r="K12" i="10" s="1"/>
  <c r="J32" i="4" l="1"/>
  <c r="K33" i="4"/>
  <c r="L52" i="7"/>
  <c r="L59" i="7" s="1"/>
  <c r="K25" i="10" s="1"/>
  <c r="J33" i="4" l="1"/>
  <c r="K34" i="4"/>
  <c r="K18" i="10"/>
  <c r="M46" i="7"/>
  <c r="M52" i="7" s="1"/>
  <c r="J34" i="4" l="1"/>
  <c r="K35" i="4"/>
  <c r="L12" i="10"/>
  <c r="M59" i="7"/>
  <c r="L25" i="10" s="1"/>
  <c r="L18" i="10"/>
  <c r="K36" i="4" l="1"/>
  <c r="J35" i="4"/>
  <c r="N46" i="7"/>
  <c r="N52" i="7" s="1"/>
  <c r="J36" i="4" l="1"/>
  <c r="K37" i="4"/>
  <c r="M12" i="10"/>
  <c r="N59" i="7"/>
  <c r="M25" i="10" s="1"/>
  <c r="M18" i="10"/>
  <c r="K38" i="4" l="1"/>
  <c r="J37" i="4"/>
  <c r="O46" i="7"/>
  <c r="O52" i="7" s="1"/>
  <c r="J38" i="4" l="1"/>
  <c r="K39" i="4"/>
  <c r="N12" i="10"/>
  <c r="O59" i="7"/>
  <c r="N25" i="10" s="1"/>
  <c r="N18" i="10"/>
  <c r="K40" i="4" l="1"/>
  <c r="J39" i="4"/>
  <c r="J40" i="4" l="1"/>
  <c r="K41" i="4"/>
  <c r="K42" i="4" l="1"/>
  <c r="J41" i="4"/>
  <c r="J42" i="4" l="1"/>
  <c r="K43" i="4"/>
  <c r="K44" i="4" l="1"/>
  <c r="J43" i="4"/>
  <c r="J44" i="4" l="1"/>
  <c r="K45" i="4"/>
  <c r="K46" i="4" l="1"/>
  <c r="J45" i="4"/>
  <c r="K47" i="4" l="1"/>
  <c r="J46" i="4"/>
  <c r="J47" i="4" l="1"/>
  <c r="K48" i="4"/>
  <c r="J48" i="4" l="1"/>
  <c r="K49" i="4"/>
  <c r="K50" i="4" l="1"/>
  <c r="J49" i="4"/>
  <c r="K51" i="4" l="1"/>
  <c r="J50" i="4"/>
  <c r="K52" i="4" l="1"/>
  <c r="J51" i="4"/>
  <c r="J52" i="4" l="1"/>
  <c r="K53" i="4"/>
  <c r="K54" i="4" l="1"/>
  <c r="J53" i="4"/>
  <c r="J54" i="4" l="1"/>
  <c r="K55" i="4"/>
  <c r="K56" i="4" l="1"/>
  <c r="J55" i="4"/>
  <c r="J56" i="4" l="1"/>
  <c r="K57" i="4"/>
  <c r="K58" i="4" l="1"/>
  <c r="J57" i="4"/>
  <c r="J58" i="4" l="1"/>
  <c r="K59" i="4"/>
  <c r="K60" i="4" l="1"/>
  <c r="J59" i="4"/>
  <c r="J60" i="4" l="1"/>
  <c r="K61" i="4"/>
  <c r="K62" i="4" l="1"/>
  <c r="J61" i="4"/>
  <c r="J62" i="4" l="1"/>
  <c r="K63" i="4"/>
  <c r="K64" i="4" l="1"/>
  <c r="J63" i="4"/>
  <c r="J64" i="4" l="1"/>
  <c r="K65" i="4"/>
  <c r="K66" i="4" l="1"/>
  <c r="J65" i="4"/>
  <c r="J66" i="4" l="1"/>
  <c r="K67" i="4"/>
  <c r="K68" i="4" l="1"/>
  <c r="J67" i="4"/>
  <c r="J68" i="4" l="1"/>
  <c r="K69" i="4"/>
  <c r="K70" i="4" l="1"/>
  <c r="J69" i="4"/>
  <c r="J70" i="4" l="1"/>
  <c r="K71" i="4"/>
  <c r="J71" i="4"/>
  <c r="O2" i="4" l="1"/>
  <c r="O3" i="4" s="1"/>
  <c r="Z1" i="13" a="1"/>
  <c r="Z1"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<sst xmlns="http://schemas.openxmlformats.org/spreadsheetml/2006/main" count="365" uniqueCount="199">
  <si>
    <t>Revenues</t>
  </si>
  <si>
    <t>Debt Proceeds</t>
  </si>
  <si>
    <t>Transfers In</t>
  </si>
  <si>
    <t>Total Inflows</t>
  </si>
  <si>
    <t>Expenditures</t>
  </si>
  <si>
    <t>Transfers Out</t>
  </si>
  <si>
    <t>Total Outflows</t>
  </si>
  <si>
    <t>General Fund</t>
  </si>
  <si>
    <t>Drug Fund</t>
  </si>
  <si>
    <t>General Purpose School Fund</t>
  </si>
  <si>
    <t>School Federal Projects Fund</t>
  </si>
  <si>
    <t>Water Fund</t>
  </si>
  <si>
    <t>Inflows</t>
  </si>
  <si>
    <t>Outflows</t>
  </si>
  <si>
    <t>Total :</t>
  </si>
  <si>
    <t>Beginning Fund Balance</t>
  </si>
  <si>
    <t>Beginning Cash</t>
  </si>
  <si>
    <t>Estimated for July 1</t>
  </si>
  <si>
    <t>Ending Fund Balance</t>
  </si>
  <si>
    <t>Ending Cash</t>
  </si>
  <si>
    <t>Governmental Funds</t>
  </si>
  <si>
    <t>Enterprise Funds</t>
  </si>
  <si>
    <t>Increase or (Use) of Cash</t>
  </si>
  <si>
    <t>Forecasted for June 30</t>
  </si>
  <si>
    <t>Fund</t>
  </si>
  <si>
    <t>Debt Type</t>
  </si>
  <si>
    <t>Original Issuance Amount</t>
  </si>
  <si>
    <t>Total Principal Outstanding June 30</t>
  </si>
  <si>
    <t>Principal</t>
  </si>
  <si>
    <t>Interest</t>
  </si>
  <si>
    <t>Detailed Budget Page Number</t>
  </si>
  <si>
    <t>Bond</t>
  </si>
  <si>
    <t>Loan Agreement</t>
  </si>
  <si>
    <t>Note</t>
  </si>
  <si>
    <t>Lease</t>
  </si>
  <si>
    <t>Other</t>
  </si>
  <si>
    <t>Debt Service Payment</t>
  </si>
  <si>
    <t>Total Payment</t>
  </si>
  <si>
    <t>Authorized and Unissued</t>
  </si>
  <si>
    <t>Select Type Here:</t>
  </si>
  <si>
    <t>Individual Debt Name and Description</t>
  </si>
  <si>
    <t>Debt</t>
  </si>
  <si>
    <r>
      <rPr>
        <b/>
        <sz val="14"/>
        <color rgb="FF9B2743"/>
        <rFont val="Times New Roman"/>
        <family val="1"/>
      </rPr>
      <t>Step 1)</t>
    </r>
    <r>
      <rPr>
        <sz val="12"/>
        <color theme="1"/>
        <rFont val="Times New Roman"/>
        <family val="1"/>
      </rPr>
      <t xml:space="preserve"> Does your local government have debt?</t>
    </r>
  </si>
  <si>
    <t>Total Tax Levy</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</si>
  <si>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summary of debt automatically totaled by fund.</t>
    </r>
  </si>
  <si>
    <r>
      <rPr>
        <b/>
        <sz val="14"/>
        <color rgb="FF9B2743"/>
        <rFont val="Times New Roman"/>
        <family val="1"/>
      </rPr>
      <t>Step 2)</t>
    </r>
    <r>
      <rPr>
        <sz val="12"/>
        <color theme="1"/>
        <rFont val="Times New Roman"/>
        <family val="1"/>
      </rPr>
      <t xml:space="preserve"> Enter each debt issuance individually (one row per individual debt). Do not summarize debt. Fund selection may be repeated across rows.</t>
    </r>
  </si>
  <si>
    <r>
      <t xml:space="preserve">Estimator Tool </t>
    </r>
    <r>
      <rPr>
        <b/>
        <sz val="16"/>
        <color theme="1"/>
        <rFont val="Times New Roman"/>
        <family val="1"/>
      </rPr>
      <t>| Property Tax Revenue</t>
    </r>
  </si>
  <si>
    <r>
      <rPr>
        <b/>
        <sz val="14"/>
        <color rgb="FF9B2743"/>
        <rFont val="Times New Roman"/>
        <family val="1"/>
      </rPr>
      <t>Step 1)</t>
    </r>
    <r>
      <rPr>
        <sz val="12"/>
        <color theme="1"/>
        <rFont val="Times New Roman"/>
        <family val="1"/>
      </rPr>
      <t xml:space="preserve"> Select local government type.</t>
    </r>
  </si>
  <si>
    <r>
      <rPr>
        <b/>
        <sz val="14"/>
        <color rgb="FF9B2743"/>
        <rFont val="Times New Roman"/>
        <family val="1"/>
      </rPr>
      <t>Step 2)</t>
    </r>
    <r>
      <rPr>
        <sz val="12"/>
        <color theme="1"/>
        <rFont val="Times New Roman"/>
        <family val="1"/>
      </rPr>
      <t xml:space="preserve"> Estimate property tax revenue using either estimator tool Version A (for municipalities) or Version B (for counties).</t>
    </r>
  </si>
  <si>
    <t>Forecasted Property Tax Revenue</t>
  </si>
  <si>
    <t>Penny Allocation</t>
  </si>
  <si>
    <t>Input total assessed value, adopted tax rate, and historical collection rate in yellow tinted cells.</t>
  </si>
  <si>
    <t>Indicate overall tax rate allocation by selecting fund (column A) and corresponding penny allocation (column B) in yellow tinted cells.</t>
  </si>
  <si>
    <r>
      <t xml:space="preserve">Total Assessed Value </t>
    </r>
    <r>
      <rPr>
        <sz val="11"/>
        <color theme="1"/>
        <rFont val="Wingdings"/>
        <charset val="2"/>
      </rPr>
      <t>è</t>
    </r>
  </si>
  <si>
    <r>
      <t xml:space="preserve">Adopted Tax Rate </t>
    </r>
    <r>
      <rPr>
        <sz val="11"/>
        <color theme="1"/>
        <rFont val="Wingdings"/>
        <charset val="2"/>
      </rPr>
      <t>è</t>
    </r>
  </si>
  <si>
    <r>
      <t xml:space="preserve">Historical Collection Rate </t>
    </r>
    <r>
      <rPr>
        <sz val="11"/>
        <color theme="1"/>
        <rFont val="Wingdings"/>
        <charset val="2"/>
      </rPr>
      <t>è</t>
    </r>
  </si>
  <si>
    <t>July</t>
  </si>
  <si>
    <t>August</t>
  </si>
  <si>
    <t>September</t>
  </si>
  <si>
    <t>October</t>
  </si>
  <si>
    <t>November</t>
  </si>
  <si>
    <t>December</t>
  </si>
  <si>
    <t>January</t>
  </si>
  <si>
    <t>February</t>
  </si>
  <si>
    <t>March</t>
  </si>
  <si>
    <t>April</t>
  </si>
  <si>
    <t>May</t>
  </si>
  <si>
    <t>June</t>
  </si>
  <si>
    <t>Enter monthly local option sales tax revenue in yellow tinted cells. Use estimates for months without data.</t>
  </si>
  <si>
    <r>
      <rPr>
        <b/>
        <sz val="14"/>
        <color rgb="FF9B2743"/>
        <rFont val="Times New Roman"/>
        <family val="1"/>
      </rPr>
      <t>Step 1)</t>
    </r>
    <r>
      <rPr>
        <sz val="12"/>
        <color theme="1"/>
        <rFont val="Times New Roman"/>
        <family val="1"/>
      </rPr>
      <t xml:space="preserve"> Enter monthly local option sales tax receipts </t>
    </r>
    <r>
      <rPr>
        <b/>
        <sz val="12"/>
        <color theme="1"/>
        <rFont val="Times New Roman"/>
        <family val="1"/>
      </rPr>
      <t>for current budget year.</t>
    </r>
    <r>
      <rPr>
        <sz val="12"/>
        <color theme="1"/>
        <rFont val="Times New Roman"/>
        <family val="1"/>
      </rPr>
      <t xml:space="preserve"> For months without data, estimate sales tax receipts.</t>
    </r>
  </si>
  <si>
    <r>
      <rPr>
        <b/>
        <sz val="14"/>
        <color rgb="FF9B2743"/>
        <rFont val="Times New Roman"/>
        <family val="1"/>
      </rPr>
      <t>Step 2)</t>
    </r>
    <r>
      <rPr>
        <sz val="12"/>
        <color theme="1"/>
        <rFont val="Times New Roman"/>
        <family val="1"/>
      </rPr>
      <t xml:space="preserve"> Enter annual local option sales tax revenue </t>
    </r>
    <r>
      <rPr>
        <b/>
        <sz val="12"/>
        <color theme="1"/>
        <rFont val="Times New Roman"/>
        <family val="1"/>
      </rPr>
      <t>from prior audits.</t>
    </r>
  </si>
  <si>
    <t>Enter annual local option sales tax revenue in yellow tinted cells. Revenue amounts found in prior audits.</t>
  </si>
  <si>
    <t>Annual Audited Amounts</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</si>
  <si>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year over year growth rates.</t>
    </r>
  </si>
  <si>
    <t>Local Option Sales Tax</t>
  </si>
  <si>
    <t>Year over Year Growth</t>
  </si>
  <si>
    <t>N/A</t>
  </si>
  <si>
    <t>Partially Estimated</t>
  </si>
  <si>
    <r>
      <rPr>
        <b/>
        <sz val="14"/>
        <color rgb="FF9B2743"/>
        <rFont val="Times New Roman"/>
        <family val="1"/>
      </rPr>
      <t>Step 4)</t>
    </r>
    <r>
      <rPr>
        <sz val="12"/>
        <color theme="1"/>
        <rFont val="Times New Roman"/>
        <family val="1"/>
      </rPr>
      <t xml:space="preserve"> Select anticipated upcoming budget year local option sales tax growth rate.</t>
    </r>
  </si>
  <si>
    <t>Data in the following table has been populated based on user entry in Step 1 and Step 2.</t>
  </si>
  <si>
    <t>Growth rates illustrated in Step 3 can be used as a visual aid in selecting an anticipated growth rate.</t>
  </si>
  <si>
    <t>Forecasted Sales Tax Revenue</t>
  </si>
  <si>
    <r>
      <t xml:space="preserve">Estimator Tool </t>
    </r>
    <r>
      <rPr>
        <b/>
        <sz val="16"/>
        <color theme="1"/>
        <rFont val="Times New Roman"/>
        <family val="1"/>
      </rPr>
      <t>| Local Option Sales Tax Revenue</t>
    </r>
  </si>
  <si>
    <t>Beginning Cash Balance</t>
  </si>
  <si>
    <t>Available Cash</t>
  </si>
  <si>
    <t>Add: Inflows</t>
  </si>
  <si>
    <t>Less: Outflows</t>
  </si>
  <si>
    <t>Ending Cash Balance</t>
  </si>
  <si>
    <t>Cash Inflows - Cash Outflows</t>
  </si>
  <si>
    <r>
      <t xml:space="preserve">Loan Proceeds </t>
    </r>
    <r>
      <rPr>
        <sz val="11"/>
        <color theme="1"/>
        <rFont val="Wingdings"/>
        <charset val="2"/>
      </rPr>
      <t>è</t>
    </r>
  </si>
  <si>
    <t>Total Cash Inflows :</t>
  </si>
  <si>
    <t>Annual</t>
  </si>
  <si>
    <r>
      <t xml:space="preserve">Estimator Tool </t>
    </r>
    <r>
      <rPr>
        <b/>
        <sz val="16"/>
        <color theme="1"/>
        <rFont val="Times New Roman"/>
        <family val="1"/>
      </rPr>
      <t>| City State Shared Revenue</t>
    </r>
  </si>
  <si>
    <r>
      <rPr>
        <b/>
        <sz val="14"/>
        <color rgb="FF9B2743"/>
        <rFont val="Times New Roman"/>
        <family val="1"/>
      </rPr>
      <t>Step 1)</t>
    </r>
    <r>
      <rPr>
        <sz val="12"/>
        <color theme="1"/>
        <rFont val="Times New Roman"/>
        <family val="1"/>
      </rPr>
      <t xml:space="preserve"> Enter population of the municipality </t>
    </r>
    <r>
      <rPr>
        <sz val="12"/>
        <color theme="1"/>
        <rFont val="Wingdings"/>
        <charset val="2"/>
      </rPr>
      <t>è</t>
    </r>
  </si>
  <si>
    <r>
      <rPr>
        <b/>
        <sz val="14"/>
        <color rgb="FF9B2743"/>
        <rFont val="Times New Roman"/>
        <family val="1"/>
      </rPr>
      <t>Step 2)</t>
    </r>
    <r>
      <rPr>
        <sz val="12"/>
        <color theme="1"/>
        <rFont val="Times New Roman"/>
        <family val="1"/>
      </rPr>
      <t xml:space="preserve"> Enter MTAS estimates</t>
    </r>
  </si>
  <si>
    <t>State Beer Tax</t>
  </si>
  <si>
    <t>Special Petroleum Products Tax</t>
  </si>
  <si>
    <t>TVA Gross Receipts</t>
  </si>
  <si>
    <t>Sports Betting</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</si>
  <si>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forecasted revenue by fund.</t>
    </r>
  </si>
  <si>
    <t>State Sales Tax</t>
  </si>
  <si>
    <t>Total General Fund</t>
  </si>
  <si>
    <t>Budget Estimate</t>
  </si>
  <si>
    <t>State Stree Aid Fund</t>
  </si>
  <si>
    <t>Gasoline and Motor Fuel Tax</t>
  </si>
  <si>
    <r>
      <t xml:space="preserve">Estimator Tool </t>
    </r>
    <r>
      <rPr>
        <b/>
        <sz val="16"/>
        <color theme="1"/>
        <rFont val="Times New Roman"/>
        <family val="1"/>
      </rPr>
      <t>| Other Revenue</t>
    </r>
  </si>
  <si>
    <r>
      <rPr>
        <b/>
        <sz val="14"/>
        <color rgb="FF9B2743"/>
        <rFont val="Times New Roman"/>
        <family val="1"/>
      </rPr>
      <t>Step 1)</t>
    </r>
    <r>
      <rPr>
        <sz val="12"/>
        <color theme="1"/>
        <rFont val="Times New Roman"/>
        <family val="1"/>
      </rPr>
      <t xml:space="preserve"> Enter tax receipts corresponding to other revenue </t>
    </r>
    <r>
      <rPr>
        <b/>
        <sz val="12"/>
        <color theme="1"/>
        <rFont val="Times New Roman"/>
        <family val="1"/>
      </rPr>
      <t>for current budget year.</t>
    </r>
    <r>
      <rPr>
        <sz val="12"/>
        <color theme="1"/>
        <rFont val="Times New Roman"/>
        <family val="1"/>
      </rPr>
      <t xml:space="preserve"> For months without data, estimate tax receipts.</t>
    </r>
  </si>
  <si>
    <r>
      <rPr>
        <b/>
        <sz val="14"/>
        <color rgb="FF9B2743"/>
        <rFont val="Times New Roman"/>
        <family val="1"/>
      </rPr>
      <t>Step 2)</t>
    </r>
    <r>
      <rPr>
        <sz val="12"/>
        <color theme="1"/>
        <rFont val="Times New Roman"/>
        <family val="1"/>
      </rPr>
      <t xml:space="preserve"> Enter other tax revenue </t>
    </r>
    <r>
      <rPr>
        <b/>
        <sz val="12"/>
        <color theme="1"/>
        <rFont val="Times New Roman"/>
        <family val="1"/>
      </rPr>
      <t>from prior audits.</t>
    </r>
  </si>
  <si>
    <r>
      <rPr>
        <b/>
        <sz val="14"/>
        <color rgb="FF9B2743"/>
        <rFont val="Times New Roman"/>
        <family val="1"/>
      </rPr>
      <t>Step 4)</t>
    </r>
    <r>
      <rPr>
        <sz val="12"/>
        <color theme="1"/>
        <rFont val="Times New Roman"/>
        <family val="1"/>
      </rPr>
      <t xml:space="preserve"> Select anticipated upcoming budget year other tax growth rate.</t>
    </r>
  </si>
  <si>
    <r>
      <t xml:space="preserve">Grant Proceeds </t>
    </r>
    <r>
      <rPr>
        <sz val="11"/>
        <color theme="1"/>
        <rFont val="Wingdings"/>
        <charset val="2"/>
      </rPr>
      <t>è</t>
    </r>
  </si>
  <si>
    <r>
      <t xml:space="preserve">Other Non-Operating Proceeds </t>
    </r>
    <r>
      <rPr>
        <sz val="11"/>
        <color theme="1"/>
        <rFont val="Wingdings"/>
        <charset val="2"/>
      </rPr>
      <t>è</t>
    </r>
  </si>
  <si>
    <r>
      <t xml:space="preserve">Capital Projects </t>
    </r>
    <r>
      <rPr>
        <sz val="11"/>
        <color theme="1"/>
        <rFont val="Wingdings"/>
        <charset val="2"/>
      </rPr>
      <t>è</t>
    </r>
  </si>
  <si>
    <r>
      <t xml:space="preserve">Grant Expense </t>
    </r>
    <r>
      <rPr>
        <sz val="11"/>
        <color theme="1"/>
        <rFont val="Wingdings"/>
        <charset val="2"/>
      </rPr>
      <t>è</t>
    </r>
  </si>
  <si>
    <r>
      <t xml:space="preserve">Other Non-Operating Disbursements </t>
    </r>
    <r>
      <rPr>
        <sz val="11"/>
        <color theme="1"/>
        <rFont val="Wingdings"/>
        <charset val="2"/>
      </rPr>
      <t>è</t>
    </r>
  </si>
  <si>
    <t>Total Cash Outflows :</t>
  </si>
  <si>
    <t>Estimated Cash Receipts</t>
  </si>
  <si>
    <t>Estimated Cash Payments</t>
  </si>
  <si>
    <t>Enter inflow and outflow data in the yellow tinted cells in the below table. Use estimates for months without data.</t>
  </si>
  <si>
    <t>Enter proceeds, debt service, and transfer out information in yellow tinted cells.</t>
  </si>
  <si>
    <r>
      <t xml:space="preserve">Schedule 1 of 4 </t>
    </r>
    <r>
      <rPr>
        <b/>
        <sz val="16"/>
        <color theme="1"/>
        <rFont val="Times New Roman"/>
        <family val="1"/>
      </rPr>
      <t>| Budget Summary</t>
    </r>
  </si>
  <si>
    <r>
      <t xml:space="preserve">Schedule 2 of 4 </t>
    </r>
    <r>
      <rPr>
        <b/>
        <sz val="16"/>
        <color theme="1"/>
        <rFont val="Times New Roman"/>
        <family val="1"/>
      </rPr>
      <t>| Outstanding Debt and Budgeted Debt Service</t>
    </r>
  </si>
  <si>
    <r>
      <t xml:space="preserve">Schedule 4 of 4 </t>
    </r>
    <r>
      <rPr>
        <b/>
        <sz val="16"/>
        <color theme="1"/>
        <rFont val="Times New Roman"/>
        <family val="1"/>
      </rPr>
      <t>| Printable Cash Flow Statement</t>
    </r>
  </si>
  <si>
    <r>
      <t xml:space="preserve">Schedule 3 of 4 </t>
    </r>
    <r>
      <rPr>
        <b/>
        <sz val="16"/>
        <color theme="1"/>
        <rFont val="Times New Roman"/>
        <family val="1"/>
      </rPr>
      <t>| Cash Flow Estimator</t>
    </r>
  </si>
  <si>
    <t>Loan Proceeds</t>
  </si>
  <si>
    <t>Grant Proceeds</t>
  </si>
  <si>
    <t>Use yellow tinted selection boxes to select local government type.</t>
  </si>
  <si>
    <t>School Cafeteria Fund</t>
  </si>
  <si>
    <t>A few common funds have been provided as an example. Please add or remove funds as necessary to match your enterprise (utility) funds.</t>
  </si>
  <si>
    <t>A few common funds have been provided as an example. Please add or remove funds as necessary to match your governmental (non-utility) funds.</t>
  </si>
  <si>
    <t>Issuance Count</t>
  </si>
  <si>
    <r>
      <t xml:space="preserve">Type Fund Below </t>
    </r>
    <r>
      <rPr>
        <sz val="11"/>
        <color theme="1"/>
        <rFont val="Wingdings"/>
        <charset val="2"/>
      </rPr>
      <t>ê</t>
    </r>
  </si>
  <si>
    <r>
      <rPr>
        <b/>
        <sz val="14"/>
        <color rgb="FF9B2743"/>
        <rFont val="Times New Roman"/>
        <family val="1"/>
      </rPr>
      <t>Step 2)</t>
    </r>
    <r>
      <rPr>
        <sz val="12"/>
        <color theme="1"/>
        <rFont val="Times New Roman"/>
        <family val="1"/>
      </rPr>
      <t xml:space="preserve"> Input budget year beginning cash, projected revenues, and forecasted expenditures.</t>
    </r>
  </si>
  <si>
    <t>Enter budget year beginning cash, projected revenues, and forecasted expenditures in yellow tinted boxes.</t>
  </si>
  <si>
    <r>
      <rPr>
        <b/>
        <sz val="14"/>
        <color rgb="FF9B2743"/>
        <rFont val="Times New Roman"/>
        <family val="1"/>
      </rPr>
      <t>Step 2)</t>
    </r>
    <r>
      <rPr>
        <sz val="12"/>
        <color theme="1"/>
        <rFont val="Times New Roman"/>
        <family val="1"/>
      </rPr>
      <t xml:space="preserve"> Enter information for </t>
    </r>
    <r>
      <rPr>
        <b/>
        <sz val="12"/>
        <color theme="1"/>
        <rFont val="Times New Roman"/>
        <family val="1"/>
      </rPr>
      <t>governmental</t>
    </r>
    <r>
      <rPr>
        <sz val="12"/>
        <color theme="1"/>
        <rFont val="Times New Roman"/>
        <family val="1"/>
      </rPr>
      <t xml:space="preserve"> (non-utility) funds in below table. </t>
    </r>
    <r>
      <rPr>
        <b/>
        <sz val="12"/>
        <color theme="1" tint="4.9989318521683403E-2"/>
        <rFont val="Times New Roman"/>
        <family val="1"/>
      </rPr>
      <t>DO NOT</t>
    </r>
    <r>
      <rPr>
        <sz val="12"/>
        <color theme="1"/>
        <rFont val="Times New Roman"/>
        <family val="1"/>
      </rPr>
      <t xml:space="preserve"> type in gray cells.</t>
    </r>
  </si>
  <si>
    <r>
      <rPr>
        <b/>
        <sz val="14"/>
        <color rgb="FF9B2743"/>
        <rFont val="Times New Roman"/>
        <family val="1"/>
      </rPr>
      <t>Step 3)</t>
    </r>
    <r>
      <rPr>
        <sz val="12"/>
        <color theme="1"/>
        <rFont val="Times New Roman"/>
        <family val="1"/>
      </rPr>
      <t xml:space="preserve"> Enter information for </t>
    </r>
    <r>
      <rPr>
        <b/>
        <sz val="12"/>
        <color theme="1"/>
        <rFont val="Times New Roman"/>
        <family val="1"/>
      </rPr>
      <t>enterprise</t>
    </r>
    <r>
      <rPr>
        <sz val="12"/>
        <color theme="1"/>
        <rFont val="Times New Roman"/>
        <family val="1"/>
      </rPr>
      <t xml:space="preserve"> (utility) funds, if any, in below table. </t>
    </r>
    <r>
      <rPr>
        <b/>
        <sz val="12"/>
        <color theme="1"/>
        <rFont val="Times New Roman"/>
        <family val="1"/>
      </rPr>
      <t>DO NOT</t>
    </r>
    <r>
      <rPr>
        <sz val="12"/>
        <color theme="1"/>
        <rFont val="Times New Roman"/>
        <family val="1"/>
      </rPr>
      <t xml:space="preserve"> type in gray cells</t>
    </r>
  </si>
  <si>
    <t>Sewer Fund</t>
  </si>
  <si>
    <t>Gas Fund</t>
  </si>
  <si>
    <r>
      <rPr>
        <b/>
        <sz val="14"/>
        <color rgb="FF9B2743"/>
        <rFont val="Times New Roman"/>
        <family val="1"/>
      </rPr>
      <t>Step 1)</t>
    </r>
    <r>
      <rPr>
        <sz val="12"/>
        <color theme="1"/>
        <rFont val="Times New Roman"/>
        <family val="1"/>
      </rPr>
      <t xml:space="preserve"> Indicate fund being used in below yellow tinted box.</t>
    </r>
  </si>
  <si>
    <r>
      <t xml:space="preserve">State Sales </t>
    </r>
    <r>
      <rPr>
        <sz val="11"/>
        <color theme="1"/>
        <rFont val="Wingdings"/>
        <charset val="2"/>
      </rPr>
      <t>è</t>
    </r>
  </si>
  <si>
    <r>
      <t xml:space="preserve">State Beer </t>
    </r>
    <r>
      <rPr>
        <sz val="11"/>
        <color theme="1"/>
        <rFont val="Wingdings"/>
        <charset val="2"/>
      </rPr>
      <t>è</t>
    </r>
  </si>
  <si>
    <r>
      <t xml:space="preserve">Special Petroleum Products </t>
    </r>
    <r>
      <rPr>
        <sz val="11"/>
        <color theme="1"/>
        <rFont val="Wingdings"/>
        <charset val="2"/>
      </rPr>
      <t>è</t>
    </r>
  </si>
  <si>
    <r>
      <t xml:space="preserve">TVA Gross Receipts </t>
    </r>
    <r>
      <rPr>
        <sz val="11"/>
        <color theme="1"/>
        <rFont val="Wingdings"/>
        <charset val="2"/>
      </rPr>
      <t>è</t>
    </r>
  </si>
  <si>
    <r>
      <t xml:space="preserve">Sports Betting </t>
    </r>
    <r>
      <rPr>
        <sz val="11"/>
        <color theme="1"/>
        <rFont val="Wingdings"/>
        <charset val="2"/>
      </rPr>
      <t>è</t>
    </r>
  </si>
  <si>
    <r>
      <t xml:space="preserve">Gasoline and Motor Fuels </t>
    </r>
    <r>
      <rPr>
        <sz val="11"/>
        <color theme="1"/>
        <rFont val="Wingdings"/>
        <charset val="2"/>
      </rPr>
      <t>è</t>
    </r>
  </si>
  <si>
    <t>Type an estimated growth rate in the yellow tinted box below.</t>
  </si>
  <si>
    <r>
      <t xml:space="preserve">Type Rate Below </t>
    </r>
    <r>
      <rPr>
        <sz val="11"/>
        <color theme="1"/>
        <rFont val="Wingdings"/>
        <charset val="2"/>
      </rPr>
      <t>ê</t>
    </r>
  </si>
  <si>
    <t>User Entered Growth Rate</t>
  </si>
  <si>
    <t>General</t>
  </si>
  <si>
    <t>Utility</t>
  </si>
  <si>
    <t>Combined</t>
  </si>
  <si>
    <t xml:space="preserve">     Select Fund Here:</t>
  </si>
  <si>
    <t>Must complete budget summary schedule first. Fund dropdowns are populated from the budget summary schedule.</t>
  </si>
  <si>
    <r>
      <rPr>
        <b/>
        <sz val="14"/>
        <color rgb="FF9B2743"/>
        <rFont val="Times New Roman"/>
        <family val="1"/>
      </rPr>
      <t>NOTE!</t>
    </r>
    <r>
      <rPr>
        <sz val="14"/>
        <color rgb="FF9B2743"/>
        <rFont val="Times New Roman"/>
        <family val="1"/>
      </rPr>
      <t xml:space="preserve"> Complete Budget Summary First</t>
    </r>
  </si>
  <si>
    <t>FILTER_BRIDGE</t>
  </si>
  <si>
    <t>Estimated Beginning Cash July 1</t>
  </si>
  <si>
    <t>Forecasted Ending Cash June 30</t>
  </si>
  <si>
    <t>Expenses</t>
  </si>
  <si>
    <t>Capital Items</t>
  </si>
  <si>
    <t>Debt and Grant Proceeds</t>
  </si>
  <si>
    <t>Depreciation (Non Cash Expense)</t>
  </si>
  <si>
    <t>As % of Outflows Less Capital Items and Transfers Out</t>
  </si>
  <si>
    <r>
      <rPr>
        <b/>
        <sz val="14"/>
        <color rgb="FF9B2743"/>
        <rFont val="Times New Roman"/>
        <family val="1"/>
      </rPr>
      <t>Step 1)</t>
    </r>
    <r>
      <rPr>
        <sz val="12"/>
        <color theme="1"/>
        <rFont val="Times New Roman"/>
        <family val="1"/>
      </rPr>
      <t xml:space="preserve"> Type government name </t>
    </r>
    <r>
      <rPr>
        <sz val="12"/>
        <color theme="1"/>
        <rFont val="Wingdings"/>
        <charset val="2"/>
      </rPr>
      <t>è</t>
    </r>
  </si>
  <si>
    <r>
      <t xml:space="preserve">All Bank Deposits </t>
    </r>
    <r>
      <rPr>
        <sz val="11"/>
        <color theme="1"/>
        <rFont val="Wingdings"/>
        <charset val="2"/>
      </rPr>
      <t>è</t>
    </r>
  </si>
  <si>
    <t>Less: Non-Operating Bank Deposits</t>
  </si>
  <si>
    <t>Total Operating Cash Inflows :</t>
  </si>
  <si>
    <t>Total Non-Opearting Cash Inflows :</t>
  </si>
  <si>
    <r>
      <t xml:space="preserve">All Bank Withdrawals </t>
    </r>
    <r>
      <rPr>
        <sz val="11"/>
        <color theme="1"/>
        <rFont val="Wingdings"/>
        <charset val="2"/>
      </rPr>
      <t>è</t>
    </r>
  </si>
  <si>
    <t>Less: Non-Operating Bank Withdrawals</t>
  </si>
  <si>
    <t>Total Non-Opearting Cash Outflows :</t>
  </si>
  <si>
    <t>Total Operating Cash Outflows :</t>
  </si>
  <si>
    <r>
      <rPr>
        <b/>
        <sz val="14"/>
        <color rgb="FF9B2743"/>
        <rFont val="Times New Roman"/>
        <family val="1"/>
      </rPr>
      <t>Step 3)</t>
    </r>
    <r>
      <rPr>
        <sz val="12"/>
        <color theme="1"/>
        <rFont val="Times New Roman"/>
        <family val="1"/>
      </rPr>
      <t xml:space="preserve"> Enter monthly data </t>
    </r>
    <r>
      <rPr>
        <b/>
        <sz val="12"/>
        <color theme="1"/>
        <rFont val="Times New Roman"/>
        <family val="1"/>
      </rPr>
      <t>for current year.</t>
    </r>
    <r>
      <rPr>
        <sz val="12"/>
        <color theme="1"/>
        <rFont val="Times New Roman"/>
        <family val="1"/>
      </rPr>
      <t xml:space="preserve"> For months without data, estimate inflow and outflow items. </t>
    </r>
    <r>
      <rPr>
        <b/>
        <sz val="12"/>
        <color theme="1"/>
        <rFont val="Times New Roman"/>
        <family val="1"/>
      </rPr>
      <t>DO NOT</t>
    </r>
    <r>
      <rPr>
        <sz val="12"/>
        <color theme="1"/>
        <rFont val="Times New Roman"/>
        <family val="1"/>
      </rPr>
      <t xml:space="preserve"> type in gray cells.</t>
    </r>
  </si>
  <si>
    <r>
      <rPr>
        <b/>
        <sz val="14"/>
        <color rgb="FF9B2743"/>
        <rFont val="Times New Roman"/>
        <family val="1"/>
      </rPr>
      <t>Step 4)</t>
    </r>
    <r>
      <rPr>
        <sz val="12"/>
        <color theme="1"/>
        <rFont val="Times New Roman"/>
        <family val="1"/>
      </rPr>
      <t xml:space="preserve"> Enter estimated monthly data </t>
    </r>
    <r>
      <rPr>
        <b/>
        <sz val="12"/>
        <color theme="1"/>
        <rFont val="Times New Roman"/>
        <family val="1"/>
      </rPr>
      <t xml:space="preserve">for upcoming budget </t>
    </r>
    <r>
      <rPr>
        <sz val="12"/>
        <color theme="1"/>
        <rFont val="Times New Roman"/>
        <family val="1"/>
      </rPr>
      <t>year</t>
    </r>
    <r>
      <rPr>
        <b/>
        <sz val="12"/>
        <color theme="1"/>
        <rFont val="Times New Roman"/>
        <family val="1"/>
      </rPr>
      <t>. DO NOT</t>
    </r>
    <r>
      <rPr>
        <sz val="12"/>
        <color theme="1"/>
        <rFont val="Times New Roman"/>
        <family val="1"/>
      </rPr>
      <t xml:space="preserve"> type in gray cells.</t>
    </r>
  </si>
  <si>
    <t>Debt Principal and Interest</t>
  </si>
  <si>
    <t>Forecasted Ending Cash as % of Outflows Less Capital Items and Transfers Out</t>
  </si>
  <si>
    <r>
      <t xml:space="preserve">Monthly </t>
    </r>
    <r>
      <rPr>
        <b/>
        <sz val="11"/>
        <color rgb="FF003B5C"/>
        <rFont val="Times New Roman"/>
        <family val="1"/>
      </rPr>
      <t>Operating Inflow</t>
    </r>
    <r>
      <rPr>
        <sz val="11"/>
        <color rgb="FF003B5C"/>
        <rFont val="Times New Roman"/>
        <family val="1"/>
      </rPr>
      <t xml:space="preserve"> as % Annual Inflow :</t>
    </r>
  </si>
  <si>
    <r>
      <t xml:space="preserve">Monthly </t>
    </r>
    <r>
      <rPr>
        <b/>
        <sz val="11"/>
        <color rgb="FF003B5C"/>
        <rFont val="Times New Roman"/>
        <family val="1"/>
      </rPr>
      <t>Operating Outflow</t>
    </r>
    <r>
      <rPr>
        <sz val="11"/>
        <color rgb="FF003B5C"/>
        <rFont val="Times New Roman"/>
        <family val="1"/>
      </rPr>
      <t xml:space="preserve"> as % Annual Outflow :</t>
    </r>
  </si>
  <si>
    <t>Total Cash Outflows (Depreciation is Non Cash and not Included in Cash Outflows Total)</t>
  </si>
  <si>
    <r>
      <t xml:space="preserve"> Grant Expense </t>
    </r>
    <r>
      <rPr>
        <sz val="11"/>
        <color theme="1"/>
        <rFont val="Wingdings"/>
        <charset val="2"/>
      </rPr>
      <t>è</t>
    </r>
  </si>
  <si>
    <t>Capital Projects</t>
  </si>
  <si>
    <t>Grant Expense</t>
  </si>
  <si>
    <t>Other Non-Operating Disbursements</t>
  </si>
  <si>
    <t>City of Pawnee</t>
  </si>
  <si>
    <t>State Street Aid</t>
  </si>
  <si>
    <t>General Fund Capital Outlay Notes, Series 2018</t>
  </si>
  <si>
    <t>Police Vehicles Bond</t>
  </si>
  <si>
    <t>School Capital Outlay Notes, Series 2023</t>
  </si>
  <si>
    <t>Water Works Bond</t>
  </si>
  <si>
    <t>Water Capital Outlay Notes, Series 2022</t>
  </si>
  <si>
    <t>General Fund Capital Outlay Notes, Series 2019</t>
  </si>
  <si>
    <t>Gas Fund Capital Outlay Notes, Series 2017</t>
  </si>
  <si>
    <t>Debt Service</t>
  </si>
  <si>
    <t>Highway / Public Works</t>
  </si>
  <si>
    <t>Solid Waste / Sanitation</t>
  </si>
  <si>
    <t>General Capital Projects</t>
  </si>
  <si>
    <t>General Purpose School</t>
  </si>
  <si>
    <r>
      <t xml:space="preserve">Transportation Modernization </t>
    </r>
    <r>
      <rPr>
        <sz val="11"/>
        <color theme="1"/>
        <rFont val="Wingdings"/>
        <charset val="2"/>
      </rPr>
      <t>è</t>
    </r>
  </si>
  <si>
    <t>Transportation Modernization</t>
  </si>
  <si>
    <r>
      <t xml:space="preserve">Type growth rate in yellow tinted box </t>
    </r>
    <r>
      <rPr>
        <sz val="11"/>
        <color theme="1"/>
        <rFont val="Wingdings"/>
        <charset val="2"/>
      </rPr>
      <t>è</t>
    </r>
    <r>
      <rPr>
        <sz val="11"/>
        <color theme="1"/>
        <rFont val="Times New Roman"/>
        <family val="1"/>
      </rPr>
      <t xml:space="preserve">   </t>
    </r>
  </si>
  <si>
    <t>Other Revenue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</si>
</sst>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_(&quot;$&quot;* #,##0.0000_);_(&quot;$&quot;* \(#,##0.0000\);_(&quot;$&quot;* &quot;-&quot;????_);_(@_)"/>
    <numFmt numFmtId="167" formatCode="_(* #,##0_);_(* \(#,##0\);_(* &quot;-&quot;??_);_(@_)"/>
    <numFmt numFmtId="171" formatCode="&quot;$&quot;\ #,##0_);\(&quot;$&quot;#,##0\)"/>
  </numFmts>
  <fonts count="31" x14ac:knownFonts="1">
    <font>
      <sz val="11"/>
      <color theme="1"/>
      <name val="Calibri"/>
      <family val="2"/>
      <scheme val="minor"/>
    </font>
    <font>
      <b/>
      <sz val="18"/>
      <color rgb="FF003B5C"/>
      <name val="Times New Roman"/>
      <family val="1"/>
    </font>
    <font>
      <sz val="16"/>
      <color theme="1"/>
      <name val="Times New Roman"/>
      <family val="1"/>
    </font>
    <font>
      <b/>
      <sz val="16"/>
      <color rgb="FF9B2743"/>
      <name val="Times New Roman"/>
      <family val="1"/>
    </font>
    <font>
      <sz val="11"/>
      <color theme="1"/>
      <name val="Times New Roman"/>
      <family val="1"/>
    </font>
    <font>
      <b/>
      <sz val="14"/>
      <color theme="1"/>
      <name val="Times New Roman"/>
      <family val="1"/>
    </font>
    <font>
      <b/>
      <sz val="11"/>
      <color theme="1"/>
      <name val="Times New Roman"/>
      <family val="1"/>
    </font>
    <font>
      <sz val="8"/>
      <color rgb="FF000000"/>
      <name val="Segoe UI"/>
      <family val="2"/>
    </font>
    <font>
      <sz val="10"/>
      <color theme="1"/>
      <name val="Times New Roman"/>
      <family val="1"/>
    </font>
    <font>
      <b/>
      <sz val="12"/>
      <color theme="1"/>
      <name val="Times New Roman"/>
      <family val="1"/>
    </font>
    <font>
      <sz val="12"/>
      <color theme="1"/>
      <name val="Times New Roman"/>
      <family val="1"/>
    </font>
    <font>
      <b/>
      <sz val="11"/>
      <color theme="1"/>
      <name val="Calibri"/>
      <family val="2"/>
      <scheme val="minor"/>
    </font>
    <font>
      <b/>
      <sz val="16"/>
      <color theme="1"/>
      <name val="Times New Roman"/>
      <family val="1"/>
    </font>
    <font>
      <sz val="14"/>
      <color theme="1"/>
      <name val="Times New Roman"/>
      <family val="1"/>
    </font>
    <font>
      <b/>
      <sz val="16"/>
      <color rgb="FF003B5C"/>
      <name val="Times New Roman"/>
      <family val="1"/>
    </font>
    <font>
      <sz val="12"/>
      <color theme="1"/>
      <name val="Wingdings"/>
      <charset val="2"/>
    </font>
    <font>
      <b/>
      <sz val="14"/>
      <color rgb="FF9B2743"/>
      <name val="Times New Roman"/>
      <family val="1"/>
    </font>
    <font>
      <sz val="16"/>
      <color theme="0"/>
      <name val="Times New Roman"/>
      <family val="1"/>
    </font>
    <font>
      <sz val="11"/>
      <color theme="0"/>
      <name val="Calibri"/>
      <family val="2"/>
      <scheme val="minor"/>
    </font>
    <font>
      <b/>
      <sz val="12"/>
      <color rgb="FF9B2743"/>
      <name val="Times New Roman"/>
      <family val="1"/>
    </font>
    <font>
      <i/>
      <sz val="11"/>
      <color rgb="FF9B2743"/>
      <name val="Times New Roman"/>
      <family val="1"/>
    </font>
    <font>
      <sz val="11"/>
      <color theme="1"/>
      <name val="Wingdings"/>
      <charset val="2"/>
    </font>
    <font>
      <sz val="11"/>
      <color theme="1"/>
      <name val="Calibri"/>
      <family val="2"/>
      <scheme val="minor"/>
    </font>
    <font>
      <sz val="8"/>
      <name val="Calibri"/>
      <family val="2"/>
      <scheme val="minor"/>
    </font>
    <font>
      <i/>
      <sz val="12"/>
      <color rgb="FF9B2743"/>
      <name val="Times New Roman"/>
      <family val="1"/>
    </font>
    <font>
      <b/>
      <sz val="12"/>
      <color theme="1" tint="4.9989318521683403E-2"/>
      <name val="Times New Roman"/>
      <family val="1"/>
    </font>
    <font>
      <sz val="9"/>
      <color theme="1"/>
      <name val="Times New Roman"/>
      <family val="1"/>
    </font>
    <font>
      <sz val="11"/>
      <color theme="0"/>
      <name val="Times New Roman"/>
      <family val="1"/>
    </font>
    <font>
      <sz val="14"/>
      <color rgb="FF9B2743"/>
      <name val="Times New Roman"/>
      <family val="1"/>
    </font>
    <font>
      <sz val="11"/>
      <color rgb="FF003B5C"/>
      <name val="Times New Roman"/>
      <family val="1"/>
    </font>
    <font>
      <b/>
      <sz val="11"/>
      <color rgb="FF003B5C"/>
      <name val="Times New Roman"/>
      <family val="1"/>
    </font>
  </fonts>
  <fills count="7">
    <fill>
      <patternFill patternType="none"/>
    </fill>
    <fill>
      <patternFill patternType="gray125"/>
    </fill>
    <fill>
      <patternFill patternType="solid">
        <fgColor rgb="FF809DAE"/>
        <bgColor indexed="64"/>
      </patternFill>
    </fill>
    <fill>
      <patternFill patternType="solid">
        <fgColor rgb="FFC8C9CA"/>
        <bgColor indexed="64"/>
      </patternFill>
    </fill>
    <fill>
      <patternFill patternType="solid">
        <fgColor rgb="FFD6D7D7"/>
        <bgColor indexed="64"/>
      </patternFill>
    </fill>
    <fill>
      <patternFill patternType="solid">
        <fgColor rgb="FFFEF9E6"/>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Dashed">
        <color rgb="FF9B2743"/>
      </left>
      <right style="mediumDashed">
        <color rgb="FF9B2743"/>
      </right>
      <top style="mediumDashed">
        <color rgb="FF9B2743"/>
      </top>
      <bottom style="mediumDashed">
        <color rgb="FF9B2743"/>
      </bottom>
      <diagonal/>
    </border>
    <border>
      <left/>
      <right style="mediumDashed">
        <color rgb="FF9B274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9" fontId="22" fillId="0" borderId="0" applyFont="0" applyFill="0" applyBorder="0" applyAlignment="0" applyProtection="0"/>
    <xf numFmtId="43" fontId="22" fillId="0" borderId="0" applyFont="0" applyFill="0" applyBorder="0" applyAlignment="0" applyProtection="0"/>
  </cellStyleXfs>
  <cellXfs count="272">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xf numFmtId="0" fontId="2" fillId="0" borderId="0" xfId="0" applyFont="1" applyAlignment="1">
      <alignment horizontal="left"/>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9" xfId="0" applyFont="1" applyBorder="1"/>
    <xf numFmtId="0" fontId="5"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9" xfId="0" applyFont="1" applyBorder="1" applyAlignment="1">
      <alignment horizontal="right" vertical="center"/>
    </xf>
    <xf numFmtId="0" fontId="4" fillId="0" borderId="0" xfId="0" applyFont="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1" fontId="4" fillId="0" borderId="5" xfId="0" applyNumberFormat="1" applyFont="1" applyBorder="1"/>
    <xf numFmtId="41" fontId="4" fillId="0" borderId="6" xfId="0" applyNumberFormat="1" applyFont="1" applyBorder="1"/>
    <xf numFmtId="41" fontId="4" fillId="0" borderId="0" xfId="0" applyNumberFormat="1" applyFont="1"/>
    <xf numFmtId="41" fontId="4" fillId="4" borderId="10" xfId="0" applyNumberFormat="1" applyFont="1" applyFill="1" applyBorder="1"/>
    <xf numFmtId="41" fontId="4" fillId="4" borderId="5" xfId="0" applyNumberFormat="1" applyFont="1" applyFill="1" applyBorder="1"/>
    <xf numFmtId="41" fontId="4" fillId="4" borderId="6" xfId="0" applyNumberFormat="1" applyFont="1" applyFill="1" applyBorder="1"/>
    <xf numFmtId="41" fontId="4" fillId="4" borderId="11" xfId="0" applyNumberFormat="1" applyFont="1" applyFill="1" applyBorder="1"/>
    <xf numFmtId="42" fontId="4" fillId="0" borderId="5" xfId="0" applyNumberFormat="1" applyFont="1" applyBorder="1"/>
    <xf numFmtId="42" fontId="4" fillId="0" borderId="6" xfId="0" applyNumberFormat="1" applyFont="1" applyBorder="1"/>
    <xf numFmtId="42" fontId="4" fillId="0" borderId="0" xfId="0" applyNumberFormat="1" applyFont="1"/>
    <xf numFmtId="42" fontId="4" fillId="4" borderId="10" xfId="0" applyNumberFormat="1" applyFont="1" applyFill="1" applyBorder="1"/>
    <xf numFmtId="42" fontId="4" fillId="4" borderId="5" xfId="0" applyNumberFormat="1" applyFont="1" applyFill="1" applyBorder="1"/>
    <xf numFmtId="42" fontId="4" fillId="4" borderId="6" xfId="0" applyNumberFormat="1" applyFont="1" applyFill="1" applyBorder="1"/>
    <xf numFmtId="42" fontId="4" fillId="4" borderId="12" xfId="0" applyNumberFormat="1" applyFont="1" applyFill="1" applyBorder="1"/>
    <xf numFmtId="42" fontId="4" fillId="4" borderId="13" xfId="0" applyNumberFormat="1" applyFont="1" applyFill="1" applyBorder="1"/>
    <xf numFmtId="42" fontId="4" fillId="4" borderId="14" xfId="0" applyNumberFormat="1" applyFont="1" applyFill="1" applyBorder="1"/>
    <xf numFmtId="42" fontId="4" fillId="4" borderId="2" xfId="0" applyNumberFormat="1" applyFont="1" applyFill="1" applyBorder="1"/>
    <xf numFmtId="164" fontId="4" fillId="4" borderId="6" xfId="0" applyNumberFormat="1" applyFont="1" applyFill="1" applyBorder="1"/>
    <xf numFmtId="42" fontId="4" fillId="4" borderId="15" xfId="0" applyNumberFormat="1" applyFont="1" applyFill="1" applyBorder="1"/>
    <xf numFmtId="0" fontId="3" fillId="0" borderId="0" xfId="0" applyFont="1" applyAlignment="1">
      <alignment vertical="center"/>
    </xf>
    <xf numFmtId="0" fontId="2" fillId="0" borderId="0" xfId="0" applyFont="1" applyAlignment="1">
      <alignment vertical="center"/>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0" borderId="0" xfId="0" applyFont="1" applyAlignment="1">
      <alignment horizontal="center" vertical="center"/>
    </xf>
    <xf numFmtId="42" fontId="4" fillId="3" borderId="13" xfId="0" applyNumberFormat="1" applyFont="1" applyFill="1" applyBorder="1"/>
    <xf numFmtId="42" fontId="4" fillId="3" borderId="9" xfId="0" applyNumberFormat="1" applyFont="1" applyFill="1" applyBorder="1"/>
    <xf numFmtId="42" fontId="4" fillId="3" borderId="12" xfId="0" applyNumberFormat="1" applyFont="1" applyFill="1" applyBorder="1"/>
    <xf numFmtId="42" fontId="4" fillId="3" borderId="14" xfId="0" applyNumberFormat="1" applyFont="1" applyFill="1" applyBorder="1"/>
    <xf numFmtId="42" fontId="4" fillId="0" borderId="0" xfId="0" applyNumberFormat="1" applyFont="1" applyAlignment="1">
      <alignment vertical="center"/>
    </xf>
    <xf numFmtId="42" fontId="4" fillId="0" borderId="5" xfId="0" applyNumberFormat="1" applyFont="1" applyBorder="1" applyAlignment="1">
      <alignment vertical="center"/>
    </xf>
    <xf numFmtId="42" fontId="4" fillId="3" borderId="15" xfId="0" applyNumberFormat="1" applyFont="1" applyFill="1" applyBorder="1" applyAlignment="1">
      <alignment vertical="center"/>
    </xf>
    <xf numFmtId="41" fontId="4" fillId="0" borderId="0" xfId="0" applyNumberFormat="1" applyFont="1" applyAlignment="1">
      <alignment vertical="center"/>
    </xf>
    <xf numFmtId="41" fontId="4" fillId="0" borderId="5" xfId="0" applyNumberFormat="1" applyFont="1" applyBorder="1" applyAlignment="1">
      <alignment vertical="center"/>
    </xf>
    <xf numFmtId="41" fontId="4" fillId="3" borderId="10" xfId="0" applyNumberFormat="1" applyFont="1" applyFill="1" applyBorder="1" applyAlignment="1">
      <alignment vertical="center"/>
    </xf>
    <xf numFmtId="41" fontId="4" fillId="3" borderId="11" xfId="0" applyNumberFormat="1" applyFont="1" applyFill="1" applyBorder="1" applyAlignment="1">
      <alignment vertical="center"/>
    </xf>
    <xf numFmtId="42" fontId="4" fillId="0" borderId="0" xfId="0" applyNumberFormat="1" applyFont="1" applyAlignment="1">
      <alignment horizontal="center" vertical="center"/>
    </xf>
    <xf numFmtId="0" fontId="4"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4" fillId="0" borderId="0" xfId="0" quotePrefix="1"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11" fillId="0" borderId="0" xfId="0" applyFont="1"/>
    <xf numFmtId="0" fontId="13" fillId="0" borderId="0" xfId="0" applyFont="1" applyAlignment="1">
      <alignment horizontal="left" vertical="center"/>
    </xf>
    <xf numFmtId="0" fontId="13" fillId="0" borderId="0" xfId="0" applyFont="1" applyAlignment="1">
      <alignment horizontal="left"/>
    </xf>
    <xf numFmtId="0" fontId="14"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4" fillId="0" borderId="1" xfId="0" applyFont="1" applyBorder="1"/>
    <xf numFmtId="0" fontId="4" fillId="0" borderId="0" xfId="0" applyFont="1" applyAlignment="1">
      <alignment horizontal="right" vertical="center"/>
    </xf>
    <xf numFmtId="0" fontId="16" fillId="0" borderId="0" xfId="0" applyFont="1"/>
    <xf numFmtId="0" fontId="10" fillId="0" borderId="0" xfId="0" applyFont="1" applyAlignment="1">
      <alignment horizontal="right" vertical="center"/>
    </xf>
    <xf numFmtId="0" fontId="17" fillId="0" borderId="0" xfId="0" applyFont="1" applyAlignment="1">
      <alignment vertical="center"/>
    </xf>
    <xf numFmtId="0" fontId="4" fillId="3" borderId="0" xfId="0" applyFont="1" applyFill="1" applyAlignment="1">
      <alignment horizontal="center" vertical="center"/>
    </xf>
    <xf numFmtId="42" fontId="4" fillId="3" borderId="0" xfId="0" applyNumberFormat="1" applyFont="1" applyFill="1" applyAlignment="1">
      <alignment horizontal="center" vertical="center"/>
    </xf>
    <xf numFmtId="0" fontId="18" fillId="0" borderId="0" xfId="0" applyFont="1"/>
    <xf numFmtId="0" fontId="4" fillId="2" borderId="0" xfId="0" applyFont="1" applyFill="1"/>
    <xf numFmtId="0" fontId="6" fillId="2" borderId="0" xfId="0" applyFont="1" applyFill="1"/>
    <xf numFmtId="0" fontId="20" fillId="0" borderId="0" xfId="0" applyFont="1"/>
    <xf numFmtId="0" fontId="6" fillId="0" borderId="14" xfId="0" applyFont="1" applyBorder="1" applyAlignment="1">
      <alignment horizontal="center" vertical="center" wrapText="1"/>
    </xf>
    <xf numFmtId="42" fontId="4" fillId="5" borderId="15" xfId="0" applyNumberFormat="1" applyFont="1" applyFill="1" applyBorder="1"/>
    <xf numFmtId="165" fontId="4" fillId="5" borderId="10" xfId="0" applyNumberFormat="1" applyFont="1" applyFill="1" applyBorder="1"/>
    <xf numFmtId="9" fontId="4" fillId="5" borderId="11" xfId="0" applyNumberFormat="1" applyFont="1" applyFill="1" applyBorder="1"/>
    <xf numFmtId="0" fontId="4" fillId="5" borderId="0" xfId="0" applyFont="1" applyFill="1"/>
    <xf numFmtId="0" fontId="4" fillId="5" borderId="1" xfId="0" applyFont="1" applyFill="1" applyBorder="1"/>
    <xf numFmtId="166" fontId="4" fillId="5" borderId="10" xfId="0" applyNumberFormat="1" applyFont="1" applyFill="1" applyBorder="1"/>
    <xf numFmtId="165" fontId="4" fillId="5" borderId="11" xfId="0" applyNumberFormat="1" applyFont="1" applyFill="1" applyBorder="1"/>
    <xf numFmtId="166" fontId="4" fillId="3" borderId="11" xfId="0" applyNumberFormat="1" applyFont="1" applyFill="1" applyBorder="1"/>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42" fontId="4" fillId="3" borderId="5" xfId="0" applyNumberFormat="1" applyFont="1" applyFill="1" applyBorder="1"/>
    <xf numFmtId="42" fontId="4" fillId="3" borderId="6" xfId="0" applyNumberFormat="1" applyFont="1" applyFill="1" applyBorder="1"/>
    <xf numFmtId="41" fontId="4" fillId="3" borderId="5" xfId="0" applyNumberFormat="1" applyFont="1" applyFill="1" applyBorder="1"/>
    <xf numFmtId="41" fontId="4" fillId="3" borderId="6" xfId="0" applyNumberFormat="1" applyFont="1" applyFill="1" applyBorder="1"/>
    <xf numFmtId="41" fontId="4" fillId="3" borderId="7" xfId="0" applyNumberFormat="1" applyFont="1" applyFill="1" applyBorder="1"/>
    <xf numFmtId="41" fontId="4" fillId="3" borderId="8" xfId="0" applyNumberFormat="1" applyFont="1" applyFill="1" applyBorder="1"/>
    <xf numFmtId="42" fontId="4" fillId="3" borderId="7" xfId="0" applyNumberFormat="1" applyFont="1" applyFill="1" applyBorder="1"/>
    <xf numFmtId="41" fontId="4" fillId="3" borderId="10" xfId="0" applyNumberFormat="1" applyFont="1" applyFill="1" applyBorder="1"/>
    <xf numFmtId="41" fontId="6" fillId="3" borderId="11" xfId="0" applyNumberFormat="1" applyFont="1" applyFill="1" applyBorder="1"/>
    <xf numFmtId="42" fontId="4" fillId="3" borderId="11" xfId="0" applyNumberFormat="1" applyFont="1" applyFill="1" applyBorder="1"/>
    <xf numFmtId="0" fontId="6" fillId="0" borderId="0" xfId="0" applyFont="1" applyAlignment="1">
      <alignment horizontal="right" vertical="center"/>
    </xf>
    <xf numFmtId="41" fontId="4" fillId="5" borderId="10" xfId="0" applyNumberFormat="1" applyFont="1" applyFill="1" applyBorder="1"/>
    <xf numFmtId="41" fontId="4" fillId="5" borderId="11" xfId="0" applyNumberFormat="1" applyFont="1" applyFill="1" applyBorder="1"/>
    <xf numFmtId="0" fontId="4" fillId="2" borderId="0" xfId="0" applyFont="1" applyFill="1" applyAlignment="1">
      <alignment horizontal="center" vertical="center"/>
    </xf>
    <xf numFmtId="0" fontId="6" fillId="2" borderId="14" xfId="0" applyFont="1" applyFill="1" applyBorder="1" applyAlignment="1">
      <alignment horizontal="center"/>
    </xf>
    <xf numFmtId="0" fontId="10" fillId="0" borderId="0" xfId="0" applyFont="1" applyAlignment="1">
      <alignment horizontal="center"/>
    </xf>
    <xf numFmtId="0" fontId="4" fillId="3" borderId="1" xfId="0" applyFont="1" applyFill="1" applyBorder="1"/>
    <xf numFmtId="0" fontId="6" fillId="2" borderId="14" xfId="0" applyFont="1" applyFill="1" applyBorder="1"/>
    <xf numFmtId="0" fontId="4" fillId="3" borderId="14" xfId="0" applyFont="1" applyFill="1" applyBorder="1"/>
    <xf numFmtId="0" fontId="4" fillId="3" borderId="0" xfId="0" applyFont="1" applyFill="1"/>
    <xf numFmtId="9" fontId="4" fillId="3" borderId="0" xfId="1" applyFont="1" applyFill="1" applyBorder="1"/>
    <xf numFmtId="0" fontId="6" fillId="3" borderId="0" xfId="0" applyFont="1" applyFill="1" applyAlignment="1">
      <alignment horizontal="center" vertical="center"/>
    </xf>
    <xf numFmtId="0" fontId="4" fillId="0" borderId="0" xfId="0" applyFont="1" applyAlignment="1">
      <alignment horizontal="right"/>
    </xf>
    <xf numFmtId="42" fontId="4" fillId="3" borderId="14" xfId="0" applyNumberFormat="1" applyFont="1" applyFill="1" applyBorder="1" applyAlignment="1">
      <alignment horizontal="center"/>
    </xf>
    <xf numFmtId="41" fontId="4" fillId="3" borderId="14" xfId="0" applyNumberFormat="1" applyFont="1" applyFill="1" applyBorder="1"/>
    <xf numFmtId="41" fontId="4" fillId="3" borderId="1" xfId="0" applyNumberFormat="1" applyFont="1" applyFill="1" applyBorder="1"/>
    <xf numFmtId="41" fontId="4" fillId="3" borderId="9" xfId="0" applyNumberFormat="1" applyFont="1" applyFill="1" applyBorder="1"/>
    <xf numFmtId="0" fontId="4" fillId="3" borderId="18" xfId="0" applyFont="1" applyFill="1" applyBorder="1"/>
    <xf numFmtId="0" fontId="4" fillId="3" borderId="19" xfId="0" applyFont="1" applyFill="1" applyBorder="1"/>
    <xf numFmtId="41" fontId="4" fillId="3" borderId="19" xfId="0" applyNumberFormat="1" applyFont="1" applyFill="1" applyBorder="1"/>
    <xf numFmtId="42" fontId="4" fillId="3" borderId="12" xfId="0" applyNumberFormat="1" applyFont="1" applyFill="1" applyBorder="1" applyAlignment="1">
      <alignment horizontal="center"/>
    </xf>
    <xf numFmtId="0" fontId="4" fillId="3" borderId="5" xfId="0" applyFont="1" applyFill="1" applyBorder="1"/>
    <xf numFmtId="41" fontId="4" fillId="3" borderId="15" xfId="0" applyNumberFormat="1" applyFont="1" applyFill="1" applyBorder="1"/>
    <xf numFmtId="41" fontId="4" fillId="3" borderId="11" xfId="0" applyNumberFormat="1" applyFont="1" applyFill="1" applyBorder="1"/>
    <xf numFmtId="41" fontId="4" fillId="3" borderId="12" xfId="0" applyNumberFormat="1" applyFont="1" applyFill="1" applyBorder="1"/>
    <xf numFmtId="41" fontId="4" fillId="3" borderId="3" xfId="0" applyNumberFormat="1" applyFont="1" applyFill="1" applyBorder="1"/>
    <xf numFmtId="41" fontId="4" fillId="3" borderId="22" xfId="0" applyNumberFormat="1" applyFont="1" applyFill="1" applyBorder="1"/>
    <xf numFmtId="0" fontId="4" fillId="0" borderId="14" xfId="0" applyFont="1" applyBorder="1" applyAlignment="1">
      <alignment horizontal="center"/>
    </xf>
    <xf numFmtId="41" fontId="4" fillId="4" borderId="10" xfId="0" applyNumberFormat="1" applyFont="1" applyFill="1" applyBorder="1" applyAlignment="1">
      <alignment horizontal="center" vertical="center"/>
    </xf>
    <xf numFmtId="41" fontId="4" fillId="4" borderId="11" xfId="0" applyNumberFormat="1" applyFont="1" applyFill="1" applyBorder="1" applyAlignment="1">
      <alignment horizontal="center" vertical="center"/>
    </xf>
    <xf numFmtId="41" fontId="4" fillId="4" borderId="2" xfId="0" applyNumberFormat="1" applyFont="1" applyFill="1" applyBorder="1" applyAlignment="1">
      <alignment horizontal="center" vertical="center"/>
    </xf>
    <xf numFmtId="0" fontId="4" fillId="0" borderId="9" xfId="0" applyFont="1" applyBorder="1" applyAlignment="1">
      <alignment horizontal="center"/>
    </xf>
    <xf numFmtId="0" fontId="6" fillId="0" borderId="0" xfId="0" applyFont="1" applyAlignment="1">
      <alignment horizontal="center" vertical="center"/>
    </xf>
    <xf numFmtId="42" fontId="4" fillId="4" borderId="15" xfId="0" applyNumberFormat="1" applyFont="1" applyFill="1" applyBorder="1" applyAlignment="1">
      <alignment horizontal="center" vertical="center"/>
    </xf>
    <xf numFmtId="0" fontId="9" fillId="0" borderId="1" xfId="0" applyFont="1" applyBorder="1" applyAlignment="1">
      <alignment horizontal="center"/>
    </xf>
    <xf numFmtId="41" fontId="4" fillId="5" borderId="3" xfId="0" applyNumberFormat="1" applyFont="1" applyFill="1" applyBorder="1"/>
    <xf numFmtId="41" fontId="4" fillId="5" borderId="9" xfId="0" applyNumberFormat="1" applyFont="1" applyFill="1" applyBorder="1"/>
    <xf numFmtId="41" fontId="4" fillId="5" borderId="5" xfId="0" applyNumberFormat="1" applyFont="1" applyFill="1" applyBorder="1"/>
    <xf numFmtId="41" fontId="4" fillId="5" borderId="0" xfId="0" applyNumberFormat="1" applyFont="1" applyFill="1"/>
    <xf numFmtId="0" fontId="6" fillId="2" borderId="9" xfId="0" applyFont="1" applyFill="1" applyBorder="1" applyAlignment="1">
      <alignment horizontal="center"/>
    </xf>
    <xf numFmtId="41" fontId="4" fillId="5" borderId="7" xfId="0" applyNumberFormat="1" applyFont="1" applyFill="1" applyBorder="1"/>
    <xf numFmtId="41" fontId="4" fillId="5" borderId="1" xfId="0" applyNumberFormat="1" applyFont="1" applyFill="1" applyBorder="1"/>
    <xf numFmtId="0" fontId="24" fillId="0" borderId="0" xfId="0" applyFont="1" applyAlignment="1">
      <alignment horizontal="left"/>
    </xf>
    <xf numFmtId="41" fontId="4" fillId="3" borderId="0" xfId="0" applyNumberFormat="1" applyFont="1" applyFill="1"/>
    <xf numFmtId="0" fontId="0" fillId="6" borderId="0" xfId="0" applyFill="1"/>
    <xf numFmtId="164" fontId="9" fillId="5" borderId="2" xfId="0" applyNumberFormat="1" applyFont="1" applyFill="1" applyBorder="1" applyAlignment="1">
      <alignment horizontal="center" vertical="center" wrapText="1"/>
    </xf>
    <xf numFmtId="3" fontId="4" fillId="3" borderId="0" xfId="0" applyNumberFormat="1" applyFont="1" applyFill="1" applyAlignment="1">
      <alignment horizontal="center" vertical="center"/>
    </xf>
    <xf numFmtId="3" fontId="4" fillId="0" borderId="0" xfId="0" applyNumberFormat="1" applyFont="1" applyAlignment="1">
      <alignment horizontal="center" vertical="center"/>
    </xf>
    <xf numFmtId="3" fontId="4" fillId="0" borderId="0" xfId="0" applyNumberFormat="1" applyFont="1"/>
    <xf numFmtId="0" fontId="3" fillId="0" borderId="1" xfId="0" applyFont="1" applyBorder="1" applyAlignment="1">
      <alignment vertical="center"/>
    </xf>
    <xf numFmtId="0" fontId="3" fillId="0" borderId="0" xfId="0" applyFont="1"/>
    <xf numFmtId="0" fontId="26" fillId="0" borderId="0" xfId="0" applyFont="1" applyAlignment="1">
      <alignment vertical="center"/>
    </xf>
    <xf numFmtId="167" fontId="0" fillId="0" borderId="0" xfId="2" applyNumberFormat="1" applyFont="1"/>
    <xf numFmtId="3" fontId="4" fillId="5" borderId="2" xfId="0" applyNumberFormat="1" applyFont="1" applyFill="1" applyBorder="1" applyAlignment="1">
      <alignment horizontal="center" vertical="center"/>
    </xf>
    <xf numFmtId="44" fontId="4" fillId="5" borderId="15" xfId="0" applyNumberFormat="1" applyFont="1" applyFill="1" applyBorder="1"/>
    <xf numFmtId="43" fontId="4" fillId="5" borderId="10" xfId="0" applyNumberFormat="1" applyFont="1" applyFill="1" applyBorder="1"/>
    <xf numFmtId="43" fontId="4" fillId="5" borderId="11" xfId="0" applyNumberFormat="1" applyFont="1" applyFill="1" applyBorder="1"/>
    <xf numFmtId="0" fontId="27" fillId="0" borderId="0" xfId="0" applyFont="1" applyAlignment="1">
      <alignment horizontal="center" vertical="center"/>
    </xf>
    <xf numFmtId="0" fontId="28" fillId="0" borderId="0" xfId="0" applyFont="1" applyAlignment="1">
      <alignment horizontal="left" vertical="center"/>
    </xf>
    <xf numFmtId="164" fontId="4" fillId="4" borderId="5" xfId="0" applyNumberFormat="1" applyFont="1" applyFill="1" applyBorder="1"/>
    <xf numFmtId="164" fontId="4" fillId="4" borderId="7" xfId="0" applyNumberFormat="1" applyFont="1" applyFill="1" applyBorder="1"/>
    <xf numFmtId="164" fontId="4" fillId="4" borderId="8" xfId="0" applyNumberFormat="1" applyFont="1" applyFill="1" applyBorder="1"/>
    <xf numFmtId="0" fontId="6" fillId="0" borderId="0" xfId="0" applyFont="1" applyAlignment="1">
      <alignment vertical="center"/>
    </xf>
    <xf numFmtId="164" fontId="4" fillId="4" borderId="10" xfId="0" applyNumberFormat="1" applyFont="1" applyFill="1" applyBorder="1"/>
    <xf numFmtId="0" fontId="4" fillId="0" borderId="5" xfId="0" applyFont="1" applyBorder="1"/>
    <xf numFmtId="0" fontId="11" fillId="0" borderId="0" xfId="0" applyFont="1" applyAlignment="1">
      <alignment horizontal="left" vertical="center"/>
    </xf>
    <xf numFmtId="42" fontId="4" fillId="4" borderId="0" xfId="0" applyNumberFormat="1" applyFont="1" applyFill="1"/>
    <xf numFmtId="41" fontId="4" fillId="4" borderId="0" xfId="0" applyNumberFormat="1" applyFont="1" applyFill="1"/>
    <xf numFmtId="41" fontId="4" fillId="5" borderId="4" xfId="0" applyNumberFormat="1" applyFont="1" applyFill="1" applyBorder="1"/>
    <xf numFmtId="41" fontId="4" fillId="5" borderId="6" xfId="0" applyNumberFormat="1" applyFont="1" applyFill="1" applyBorder="1"/>
    <xf numFmtId="41" fontId="4" fillId="5" borderId="8" xfId="0" applyNumberFormat="1" applyFont="1" applyFill="1" applyBorder="1"/>
    <xf numFmtId="0" fontId="6" fillId="0" borderId="0" xfId="0" applyFont="1" applyAlignment="1">
      <alignment horizontal="right"/>
    </xf>
    <xf numFmtId="41" fontId="6" fillId="3" borderId="1" xfId="0" applyNumberFormat="1" applyFont="1" applyFill="1" applyBorder="1"/>
    <xf numFmtId="0" fontId="4" fillId="0" borderId="8" xfId="0" applyFont="1" applyBorder="1" applyAlignment="1">
      <alignment horizontal="right" vertical="center"/>
    </xf>
    <xf numFmtId="0" fontId="6" fillId="0" borderId="0" xfId="0" applyFont="1"/>
    <xf numFmtId="41" fontId="6" fillId="3" borderId="15" xfId="0" applyNumberFormat="1" applyFont="1" applyFill="1" applyBorder="1"/>
    <xf numFmtId="0" fontId="4" fillId="0" borderId="25" xfId="0" applyFont="1" applyBorder="1"/>
    <xf numFmtId="42" fontId="4" fillId="5" borderId="12" xfId="0" applyNumberFormat="1" applyFont="1" applyFill="1" applyBorder="1"/>
    <xf numFmtId="42" fontId="4" fillId="5" borderId="14" xfId="0" applyNumberFormat="1" applyFont="1" applyFill="1" applyBorder="1"/>
    <xf numFmtId="42" fontId="4" fillId="5" borderId="13" xfId="0" applyNumberFormat="1" applyFont="1" applyFill="1" applyBorder="1"/>
    <xf numFmtId="42" fontId="4" fillId="3" borderId="10" xfId="0" applyNumberFormat="1" applyFont="1" applyFill="1" applyBorder="1"/>
    <xf numFmtId="0" fontId="4" fillId="0" borderId="1" xfId="0" applyFont="1" applyBorder="1" applyAlignment="1">
      <alignment horizontal="right"/>
    </xf>
    <xf numFmtId="0" fontId="4" fillId="0" borderId="14" xfId="0" applyFont="1" applyBorder="1" applyAlignment="1">
      <alignment horizontal="center" vertical="center"/>
    </xf>
    <xf numFmtId="41" fontId="4" fillId="0" borderId="14" xfId="0" applyNumberFormat="1" applyFont="1" applyBorder="1"/>
    <xf numFmtId="9" fontId="6" fillId="0" borderId="0" xfId="0" applyNumberFormat="1" applyFont="1"/>
    <xf numFmtId="0" fontId="29" fillId="0" borderId="26" xfId="0" applyFont="1" applyBorder="1" applyAlignment="1">
      <alignment horizontal="right"/>
    </xf>
    <xf numFmtId="9" fontId="30" fillId="3" borderId="25" xfId="0" applyNumberFormat="1" applyFont="1" applyFill="1" applyBorder="1"/>
    <xf numFmtId="9" fontId="30" fillId="3" borderId="24" xfId="0" applyNumberFormat="1" applyFont="1" applyFill="1" applyBorder="1"/>
    <xf numFmtId="0" fontId="30" fillId="3" borderId="20" xfId="0" applyFont="1" applyFill="1" applyBorder="1"/>
    <xf numFmtId="0" fontId="30" fillId="3" borderId="21" xfId="0" applyFont="1" applyFill="1" applyBorder="1"/>
    <xf numFmtId="42" fontId="30" fillId="3" borderId="21" xfId="0" applyNumberFormat="1" applyFont="1" applyFill="1" applyBorder="1"/>
    <xf numFmtId="42" fontId="30" fillId="3" borderId="23" xfId="0" applyNumberFormat="1" applyFont="1" applyFill="1" applyBorder="1"/>
    <xf numFmtId="0" fontId="4" fillId="0" borderId="3" xfId="0" applyFont="1" applyBorder="1"/>
    <xf numFmtId="42" fontId="4" fillId="0" borderId="10" xfId="0" applyNumberFormat="1" applyFont="1" applyBorder="1"/>
    <xf numFmtId="41" fontId="4" fillId="0" borderId="10" xfId="0" applyNumberFormat="1"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xf>
    <xf numFmtId="0" fontId="6"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pplyProtection="1">
      <alignment horizontal="left" vertical="center"/>
      <protection locked="0"/>
    </xf>
    <xf numFmtId="0" fontId="0" fillId="0" borderId="0" xfId="0" applyProtection="1">
      <protection locked="0"/>
    </xf>
    <xf numFmtId="0" fontId="13" fillId="0" borderId="0" xfId="0" applyFont="1" applyAlignment="1" applyProtection="1">
      <alignment horizontal="left" vertical="center"/>
      <protection locked="0"/>
    </xf>
    <xf numFmtId="0" fontId="4" fillId="0" borderId="0" xfId="0" applyFont="1" applyProtection="1">
      <protection locked="0"/>
    </xf>
    <xf numFmtId="0" fontId="10" fillId="0" borderId="0" xfId="0" applyFont="1" applyAlignment="1" applyProtection="1">
      <alignment horizontal="left"/>
      <protection locked="0"/>
    </xf>
    <xf numFmtId="0" fontId="20" fillId="0" borderId="0" xfId="0" applyFont="1" applyProtection="1">
      <protection locked="0"/>
    </xf>
    <xf numFmtId="0" fontId="6" fillId="2" borderId="14"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42" fontId="4" fillId="5" borderId="15" xfId="0" applyNumberFormat="1" applyFont="1" applyFill="1" applyBorder="1" applyProtection="1">
      <protection locked="0"/>
    </xf>
    <xf numFmtId="41" fontId="4" fillId="5" borderId="10" xfId="0" applyNumberFormat="1" applyFont="1" applyFill="1" applyBorder="1" applyProtection="1">
      <protection locked="0"/>
    </xf>
    <xf numFmtId="167" fontId="4" fillId="0" borderId="0" xfId="2" applyNumberFormat="1" applyFont="1" applyProtection="1">
      <protection locked="0"/>
    </xf>
    <xf numFmtId="42" fontId="4" fillId="0" borderId="0" xfId="0" applyNumberFormat="1" applyFont="1" applyProtection="1">
      <protection locked="0"/>
    </xf>
    <xf numFmtId="44" fontId="4" fillId="0" borderId="0" xfId="0" applyNumberFormat="1" applyFont="1" applyProtection="1">
      <protection locked="0"/>
    </xf>
    <xf numFmtId="41" fontId="4" fillId="5" borderId="11" xfId="0" applyNumberFormat="1" applyFont="1" applyFill="1" applyBorder="1" applyProtection="1">
      <protection locked="0"/>
    </xf>
    <xf numFmtId="0" fontId="6" fillId="0" borderId="0" xfId="0" applyFont="1" applyAlignment="1" applyProtection="1">
      <alignment horizontal="right" vertical="center"/>
      <protection locked="0"/>
    </xf>
    <xf numFmtId="42" fontId="6" fillId="3" borderId="11" xfId="0" applyNumberFormat="1" applyFont="1" applyFill="1" applyBorder="1" applyProtection="1">
      <protection locked="0"/>
    </xf>
    <xf numFmtId="0" fontId="6" fillId="2" borderId="14" xfId="0" applyFont="1" applyFill="1" applyBorder="1" applyAlignment="1" applyProtection="1">
      <alignment horizontal="center"/>
      <protection locked="0"/>
    </xf>
    <xf numFmtId="0" fontId="10"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center" vertical="center"/>
      <protection locked="0"/>
    </xf>
    <xf numFmtId="164" fontId="4" fillId="0" borderId="0" xfId="0" applyNumberFormat="1" applyFont="1" applyProtection="1">
      <protection locked="0"/>
    </xf>
    <xf numFmtId="0" fontId="4" fillId="0" borderId="0" xfId="0" applyFont="1" applyAlignment="1" applyProtection="1">
      <alignment horizontal="center"/>
      <protection locked="0"/>
    </xf>
    <xf numFmtId="0" fontId="4" fillId="2" borderId="0" xfId="0" applyFont="1" applyFill="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164" fontId="4" fillId="5" borderId="16" xfId="0" applyNumberFormat="1" applyFont="1" applyFill="1" applyBorder="1" applyAlignment="1" applyProtection="1">
      <alignment horizontal="center" vertical="center"/>
      <protection locked="0"/>
    </xf>
    <xf numFmtId="164" fontId="4" fillId="0" borderId="0" xfId="0" applyNumberFormat="1" applyFont="1" applyAlignment="1" applyProtection="1">
      <alignment horizontal="center" vertical="center" wrapText="1"/>
      <protection locked="0"/>
    </xf>
    <xf numFmtId="0" fontId="6" fillId="0" borderId="14" xfId="0" applyFont="1" applyBorder="1" applyAlignment="1" applyProtection="1">
      <alignment horizontal="center"/>
      <protection locked="0"/>
    </xf>
    <xf numFmtId="42" fontId="4" fillId="3" borderId="0" xfId="0" applyNumberFormat="1" applyFont="1" applyFill="1" applyProtection="1">
      <protection locked="0"/>
    </xf>
    <xf numFmtId="164" fontId="4" fillId="3" borderId="0" xfId="0" applyNumberFormat="1" applyFont="1" applyFill="1" applyProtection="1">
      <protection locked="0"/>
    </xf>
    <xf numFmtId="42" fontId="27" fillId="0" borderId="0" xfId="0" applyNumberFormat="1" applyFont="1" applyAlignment="1" applyProtection="1">
      <alignment horizontal="center" vertical="center"/>
    </xf>
    <xf numFmtId="42" fontId="27" fillId="0" borderId="0" xfId="0" applyNumberFormat="1" applyFont="1" applyProtection="1"/>
    <xf numFmtId="0" fontId="27" fillId="0" borderId="0" xfId="0" applyFont="1" applyProtection="1"/>
    <xf numFmtId="41" fontId="27" fillId="0" borderId="0" xfId="0" applyNumberFormat="1" applyFont="1" applyProtection="1"/>
    <xf numFmtId="0" fontId="4" fillId="0" borderId="0" xfId="0" applyFont="1" applyBorder="1" applyProtection="1">
      <protection locked="0"/>
    </xf>
    <xf numFmtId="0" fontId="16" fillId="0" borderId="12"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171" fontId="5" fillId="0" borderId="12" xfId="0" applyNumberFormat="1" applyFont="1" applyFill="1" applyBorder="1" applyAlignment="1" applyProtection="1">
      <alignment horizontal="center"/>
      <protection locked="0"/>
    </xf>
    <xf numFmtId="171" fontId="5" fillId="0" borderId="13"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2" borderId="12" xfId="0" applyFont="1" applyFill="1" applyBorder="1" applyAlignment="1" applyProtection="1">
      <alignment horizontal="center"/>
      <protection locked="0"/>
    </xf>
    <xf numFmtId="0" fontId="4" fillId="0" borderId="14" xfId="0" applyFont="1" applyBorder="1" applyAlignment="1" applyProtection="1">
      <alignment horizontal="center" vertical="center" wrapText="1"/>
      <protection locked="0"/>
    </xf>
    <xf numFmtId="37" fontId="4" fillId="3" borderId="14"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protection locked="0"/>
    </xf>
    <xf numFmtId="164" fontId="6"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Border="1"/>
  </cellXfs>
  <cellStyles count="3">
    <cellStyle name="Comma" xfId="2" builtinId="3"/>
    <cellStyle name="Normal" xfId="0" builtinId="0"/>
    <cellStyle name="Percent" xfId="1" builtinId="5"/>
  </cellStyles>
  <dxfs count="33">
    <dxf>
      <font>
        <b/>
        <i val="0"/>
        <color auto="1"/>
      </font>
      <fill>
        <patternFill patternType="none">
          <bgColor auto="1"/>
        </patternFill>
      </fill>
    </dxf>
    <dxf>
      <fill>
        <patternFill patternType="none">
          <bgColor auto="1"/>
        </patternFill>
      </fill>
    </dxf>
    <dxf>
      <font>
        <color theme="0"/>
      </font>
    </dxf>
    <dxf>
      <font>
        <b/>
        <i val="0"/>
        <color auto="1"/>
      </font>
      <fill>
        <patternFill patternType="none">
          <bgColor auto="1"/>
        </patternFill>
      </fill>
    </dxf>
    <dxf>
      <fill>
        <patternFill patternType="none">
          <bgColor auto="1"/>
        </patternFill>
      </fill>
    </dxf>
    <dxf>
      <font>
        <color theme="0"/>
      </font>
      <border>
        <vertical/>
        <horizontal/>
      </border>
    </dxf>
    <dxf>
      <font>
        <color rgb="FFC8C9CA"/>
      </font>
    </dxf>
    <dxf>
      <font>
        <color theme="0"/>
      </font>
    </dxf>
    <dxf>
      <font>
        <b/>
        <i val="0"/>
        <color rgb="FF9B2743"/>
      </font>
    </dxf>
    <dxf>
      <font>
        <color rgb="FFC8C9CA"/>
      </font>
      <fill>
        <patternFill>
          <bgColor rgb="FFC8C9CA"/>
        </patternFill>
      </fill>
    </dxf>
    <dxf>
      <font>
        <color rgb="FFC8C9CA"/>
      </font>
    </dxf>
    <dxf>
      <font>
        <color rgb="FFC8C9CA"/>
      </font>
      <fill>
        <patternFill>
          <bgColor rgb="FFC8C9CA"/>
        </patternFill>
      </fill>
    </dxf>
    <dxf>
      <font>
        <color theme="0"/>
      </font>
      <border>
        <vertical/>
        <horizontal/>
      </border>
    </dxf>
    <dxf>
      <font>
        <color theme="0"/>
      </font>
    </dxf>
    <dxf>
      <font>
        <color theme="0"/>
      </font>
    </dxf>
    <dxf>
      <font>
        <color rgb="FFC8C9CA"/>
      </font>
      <fill>
        <patternFill>
          <bgColor rgb="FFC8C9CA"/>
        </patternFill>
      </fill>
    </dxf>
    <dxf>
      <font>
        <color theme="0"/>
      </font>
      <border>
        <vertical/>
        <horizontal/>
      </border>
    </dxf>
    <dxf>
      <font>
        <color rgb="FFC8C9CA"/>
      </font>
      <fill>
        <patternFill>
          <bgColor rgb="FFC8C9CA"/>
        </patternFill>
      </fill>
    </dxf>
    <dxf>
      <font>
        <color rgb="FFC8C9CA"/>
      </font>
    </dxf>
    <dxf>
      <font>
        <color theme="0"/>
      </font>
    </dxf>
    <dxf>
      <font>
        <color rgb="FF809DAE"/>
      </font>
    </dxf>
    <dxf>
      <font>
        <color rgb="FFC8C9CA"/>
      </font>
      <fill>
        <patternFill>
          <bgColor rgb="FFC8C9CA"/>
        </patternFill>
      </fill>
    </dxf>
    <dxf>
      <font>
        <color rgb="FFC8C9CA"/>
      </font>
      <fill>
        <patternFill>
          <bgColor rgb="FFC8C9CA"/>
        </patternFill>
      </fill>
    </dxf>
    <dxf>
      <fill>
        <patternFill>
          <bgColor rgb="FFC8C9CA"/>
        </patternFill>
      </fill>
    </dxf>
    <dxf>
      <font>
        <b/>
        <i val="0"/>
        <color rgb="FF9B2743"/>
      </font>
    </dxf>
    <dxf>
      <font>
        <color rgb="FF00843D"/>
      </font>
    </dxf>
    <dxf>
      <font>
        <color theme="7" tint="-0.24994659260841701"/>
      </font>
    </dxf>
    <dxf>
      <font>
        <color rgb="FF9B2743"/>
      </font>
    </dxf>
    <dxf>
      <font>
        <color rgb="FF9B2743"/>
      </font>
    </dxf>
    <dxf>
      <font>
        <color theme="7" tint="-0.24994659260841701"/>
      </font>
    </dxf>
    <dxf>
      <font>
        <color rgb="FF00843D"/>
      </font>
    </dxf>
    <dxf>
      <font>
        <color rgb="FF00843D"/>
      </font>
      <fill>
        <patternFill>
          <fgColor rgb="FFB3DAC5"/>
        </patternFill>
      </fill>
    </dxf>
    <dxf>
      <font>
        <color rgb="FF9B2743"/>
      </font>
      <fill>
        <patternFill>
          <fgColor rgb="FFCD93A1"/>
        </patternFill>
      </fill>
    </dxf>
  </dxfs>
  <tableStyles count="0" defaultTableStyle="TableStyleMedium2" defaultPivotStyle="PivotStyleLight16"/>
  <colors>
    <mruColors>
      <color rgb="FF9B2743"/>
      <color rgb="FFC8C9CA"/>
      <color rgb="FF003B5C"/>
      <color rgb="FF809DAE"/>
      <color rgb="FFCD93A1"/>
      <color rgb="FFB3DAC5"/>
      <color rgb="FFFEF9E6"/>
      <color rgb="FFF1C400"/>
      <color rgb="FF00843D"/>
      <color rgb="FFD6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latin typeface="Times New Roman" panose="02020603050405020304" pitchFamily="18" charset="0"/>
                <a:cs typeface="Times New Roman" panose="02020603050405020304" pitchFamily="18" charset="0"/>
              </a:rPr>
              <a:t>Cash</a:t>
            </a:r>
            <a:r>
              <a:rPr lang="en-US" baseline="0">
                <a:latin typeface="Times New Roman" panose="02020603050405020304" pitchFamily="18" charset="0"/>
                <a:cs typeface="Times New Roman" panose="02020603050405020304" pitchFamily="18" charset="0"/>
              </a:rPr>
              <a:t> Flow Summary</a:t>
            </a:r>
            <a:endParaRPr lang="en-US">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Cash Inflows</c:v>
          </c:tx>
          <c:spPr>
            <a:solidFill>
              <a:srgbClr val="003B5C"/>
            </a:solidFill>
            <a:ln>
              <a:noFill/>
            </a:ln>
            <a:effectLst/>
          </c:spPr>
          <c:invertIfNegative val="0"/>
          <c:cat>
            <c:strRef>
              <c:f>'Step 4)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'Step 4) Cash Flow Printable'!$C$17:$N$17</c:f>
              <c:numCache>
                <c:formatCode>_(* #,##0_);_(* \(#,##0\);_(* "-"_);_(@_)</c:formatCode>
                <c:ptCount val="12"/>
                <c:pt idx="0">
                  <c:v>334763.48226407787</c:v>
                </c:pt>
                <c:pt idx="1">
                  <c:v>716723.88303425466</c:v>
                </c:pt>
                <c:pt idx="2">
                  <c:v>265263.23583729548</c:v>
                </c:pt>
                <c:pt idx="3">
                  <c:v>593645.10824656871</c:v>
                </c:pt>
                <c:pt idx="4">
                  <c:v>551154.21191036527</c:v>
                </c:pt>
                <c:pt idx="5">
                  <c:v>1172026.5788767012</c:v>
                </c:pt>
                <c:pt idx="6">
                  <c:v>884151.52801224857</c:v>
                </c:pt>
                <c:pt idx="7">
                  <c:v>1852908.9756068876</c:v>
                </c:pt>
                <c:pt idx="8">
                  <c:v>1267739.6640410903</c:v>
                </c:pt>
                <c:pt idx="9">
                  <c:v>82044.01388055009</c:v>
                </c:pt>
                <c:pt idx="10">
                  <c:v>424208.41413266119</c:v>
                </c:pt>
                <c:pt idx="11">
                  <c:v>867711.90415729932</c:v>
                </c:pt>
              </c:numCache>
            </c:numRef>
          </c:val>
          <c:extLst>
            <c:ext xmlns:c16="http://schemas.microsoft.com/office/drawing/2014/chart" uri="{C3380CC4-5D6E-409C-BE32-E72D297353CC}">
              <c16:uniqueId val="{00000000-DC4D-467D-B229-66191FE3580E}"/>
            </c:ext>
          </c:extLst>
        </c:ser>
        <c:ser>
          <c:idx val="1"/>
          <c:order val="1"/>
          <c:tx>
            <c:v>Cash Outflows</c:v>
          </c:tx>
          <c:spPr>
            <a:solidFill>
              <a:srgbClr val="9B2743"/>
            </a:solidFill>
            <a:ln>
              <a:noFill/>
            </a:ln>
            <a:effectLst/>
          </c:spPr>
          <c:invertIfNegative val="0"/>
          <c:cat>
            <c:strRef>
              <c:f>'Step 4)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'Step 4) Cash Flow Printable'!$C$24:$N$24</c:f>
              <c:numCache>
                <c:formatCode>_(* #,##0_);_(* \(#,##0\);_(* "-"_);_(@_)</c:formatCode>
                <c:ptCount val="12"/>
                <c:pt idx="0">
                  <c:v>544026.81338270789</c:v>
                </c:pt>
                <c:pt idx="1">
                  <c:v>562178.79025606497</c:v>
                </c:pt>
                <c:pt idx="2">
                  <c:v>576855.49796437297</c:v>
                </c:pt>
                <c:pt idx="3">
                  <c:v>563216.64889945777</c:v>
                </c:pt>
                <c:pt idx="4">
                  <c:v>549316.57694269158</c:v>
                </c:pt>
                <c:pt idx="5">
                  <c:v>862933.53525359381</c:v>
                </c:pt>
                <c:pt idx="6">
                  <c:v>514614.12046371039</c:v>
                </c:pt>
                <c:pt idx="7">
                  <c:v>622100.30753640423</c:v>
                </c:pt>
                <c:pt idx="8">
                  <c:v>600476.00470113812</c:v>
                </c:pt>
                <c:pt idx="9">
                  <c:v>610332.21625851456</c:v>
                </c:pt>
                <c:pt idx="10">
                  <c:v>693867.27825875813</c:v>
                </c:pt>
                <c:pt idx="11">
                  <c:v>513565.21008258546</c:v>
                </c:pt>
              </c:numCache>
            </c:numRef>
          </c:val>
          <c:extLst>
            <c:ext xmlns:c16="http://schemas.microsoft.com/office/drawing/2014/chart" uri="{C3380CC4-5D6E-409C-BE32-E72D297353CC}">
              <c16:uniqueId val="{00000001-DC4D-467D-B229-66191FE3580E}"/>
            </c:ext>
          </c:extLst>
        </c:ser>
        <c:dLbls>
          <c:showLegendKey val="0"/>
          <c:showVal val="0"/>
          <c:showCatName val="0"/>
          <c:showSerName val="0"/>
          <c:showPercent val="0"/>
          <c:showBubbleSize val="0"/>
        </c:dLbls>
        <c:gapWidth val="150"/>
        <c:axId val="1359864799"/>
        <c:axId val="1434462032"/>
      </c:barChart>
      <c:lineChart>
        <c:grouping val="standard"/>
        <c:varyColors val="0"/>
        <c:ser>
          <c:idx val="2"/>
          <c:order val="2"/>
          <c:tx>
            <c:v>Ending Cash Balance</c:v>
          </c:tx>
          <c:spPr>
            <a:ln w="25400" cap="rnd" cmpd="sng">
              <a:solidFill>
                <a:srgbClr val="00843D"/>
              </a:solidFill>
              <a:prstDash val="solid"/>
              <a:round/>
            </a:ln>
            <a:effectLst/>
          </c:spPr>
          <c:marker>
            <c:symbol val="none"/>
          </c:marker>
          <c:val>
            <c:numRef>
              <c:f>'Step 4) Cash Flow Printable'!$C$25:$N$25</c:f>
              <c:numCache>
                <c:formatCode>_(* #,##0_);_(* \(#,##0\);_(* "-"_);_(@_)</c:formatCode>
                <c:ptCount val="12"/>
                <c:pt idx="0">
                  <c:v>10456125.66888137</c:v>
                </c:pt>
                <c:pt idx="1">
                  <c:v>10610670.761659561</c:v>
                </c:pt>
                <c:pt idx="2">
                  <c:v>10299078.499532484</c:v>
                </c:pt>
                <c:pt idx="3">
                  <c:v>10329506.958879594</c:v>
                </c:pt>
                <c:pt idx="4">
                  <c:v>10331344.593847267</c:v>
                </c:pt>
                <c:pt idx="5">
                  <c:v>10640437.637470374</c:v>
                </c:pt>
                <c:pt idx="6">
                  <c:v>11009975.045018911</c:v>
                </c:pt>
                <c:pt idx="7">
                  <c:v>12240783.713089395</c:v>
                </c:pt>
                <c:pt idx="8">
                  <c:v>12908047.372429349</c:v>
                </c:pt>
                <c:pt idx="9">
                  <c:v>12379759.170051385</c:v>
                </c:pt>
                <c:pt idx="10">
                  <c:v>12110100.305925289</c:v>
                </c:pt>
                <c:pt idx="11">
                  <c:v>12464247.000000004</c:v>
                </c:pt>
              </c:numCache>
            </c:numRef>
          </c:val>
          <c:smooth val="0"/>
          <c:extLst>
            <c:ext xmlns:c16="http://schemas.microsoft.com/office/drawing/2014/chart" uri="{C3380CC4-5D6E-409C-BE32-E72D297353CC}">
              <c16:uniqueId val="{00000002-DC4D-467D-B229-66191FE3580E}"/>
            </c:ext>
          </c:extLst>
        </c:ser>
        <c:dLbls>
          <c:showLegendKey val="0"/>
          <c:showVal val="0"/>
          <c:showCatName val="0"/>
          <c:showSerName val="0"/>
          <c:showPercent val="0"/>
          <c:showBubbleSize val="0"/>
        </c:dLbls>
        <c:marker val="1"/>
        <c:smooth val="0"/>
        <c:axId val="1359862399"/>
        <c:axId val="1434466496"/>
      </c:lineChart>
      <c:catAx>
        <c:axId val="135986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434462032"/>
        <c:crosses val="autoZero"/>
        <c:auto val="1"/>
        <c:lblAlgn val="ctr"/>
        <c:lblOffset val="100"/>
        <c:noMultiLvlLbl val="0"/>
      </c:catAx>
      <c:valAx>
        <c:axId val="1434462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59864799"/>
        <c:crosses val="autoZero"/>
        <c:crossBetween val="between"/>
      </c:valAx>
      <c:valAx>
        <c:axId val="1434466496"/>
        <c:scaling>
          <c:orientation val="minMax"/>
        </c:scaling>
        <c:delete val="0"/>
        <c:axPos val="r"/>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59862399"/>
        <c:crosses val="max"/>
        <c:crossBetween val="between"/>
      </c:valAx>
      <c:catAx>
        <c:axId val="1359862399"/>
        <c:scaling>
          <c:orientation val="minMax"/>
        </c:scaling>
        <c:delete val="1"/>
        <c:axPos val="b"/>
        <c:majorTickMark val="none"/>
        <c:minorTickMark val="none"/>
        <c:tickLblPos val="nextTo"/>
        <c:crossAx val="1434466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Historical</a:t>
            </a:r>
            <a:r>
              <a:rPr lang="en-US" b="1" baseline="0">
                <a:solidFill>
                  <a:schemeClr val="tx1"/>
                </a:solidFill>
                <a:latin typeface="Times New Roman" panose="02020603050405020304" pitchFamily="18" charset="0"/>
                <a:cs typeface="Times New Roman" panose="02020603050405020304" pitchFamily="18" charset="0"/>
              </a:rPr>
              <a:t> and Forecasted Sales Tax Revenue</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Actual Revenue</c:v>
          </c:tx>
          <c:spPr>
            <a:solidFill>
              <a:srgbClr val="809DAE"/>
            </a:solidFill>
            <a:ln>
              <a:solidFill>
                <a:schemeClr val="tx1"/>
              </a:solidFill>
            </a:ln>
            <a:effectLst/>
          </c:spPr>
          <c:invertIfNegative val="0"/>
          <c:cat>
            <c:strRef>
              <c:f>'Estimator | Sales Tax'!$B$43:$I$43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Sales Tax'!$B$34:$I$34</c:f>
              <c:numCache>
                <c:formatCode>#,##0_);\(#,##0\)</c:formatCode>
                <c:ptCount val="8"/>
                <c:pt idx="0">
                  <c:v>3382001</c:v>
                </c:pt>
                <c:pt idx="1">
                  <c:v>3473617</c:v>
                </c:pt>
                <c:pt idx="2">
                  <c:v>3701709</c:v>
                </c:pt>
                <c:pt idx="3">
                  <c:v>4262018</c:v>
                </c:pt>
                <c:pt idx="4">
                  <c:v>4736156</c:v>
                </c:pt>
                <c:pt idx="5">
                  <c:v>5020926</c:v>
                </c:pt>
                <c:pt idx="6">
                  <c:v>5123451</c:v>
                </c:pt>
              </c:numCache>
            </c:numRef>
          </c:val>
          <c:extLst>
            <c:ext xmlns:c16="http://schemas.microsoft.com/office/drawing/2014/chart" uri="{C3380CC4-5D6E-409C-BE32-E72D297353CC}">
              <c16:uniqueId val="{00000000-25DE-4D05-B68B-198E4A25152D}"/>
            </c:ext>
          </c:extLst>
        </c:ser>
        <c:ser>
          <c:idx val="7"/>
          <c:order val="2"/>
          <c:tx>
            <c:v>Forecasted Revenue</c:v>
          </c:tx>
          <c:spPr>
            <a:pattFill prst="pct60">
              <a:fgClr>
                <a:srgbClr val="CD93A1"/>
              </a:fgClr>
              <a:bgClr>
                <a:schemeClr val="bg1"/>
              </a:bgClr>
            </a:pattFill>
            <a:ln>
              <a:solidFill>
                <a:schemeClr val="tx1"/>
              </a:solidFill>
            </a:ln>
            <a:effectLst/>
          </c:spPr>
          <c:invertIfNegative val="0"/>
          <c:dLbls>
            <c:numFmt formatCode="&quot;$&quot;\ #,##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'Estimator | Sales Tax'!$B$43:$I$43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Sales Tax'!$B$36:$I$36</c:f>
              <c:numCache>
                <c:formatCode>General</c:formatCode>
                <c:ptCount val="8"/>
                <c:pt idx="7" formatCode="_(&quot;$&quot;* #,##0_);_(&quot;$&quot;* \(#,##0\);_(&quot;$&quot;* &quot;-&quot;_);_(@_)">
                  <c:v>5328389.04</c:v>
                </c:pt>
              </c:numCache>
            </c:numRef>
          </c:val>
          <c:extLst>
            <c:ext xmlns:c16="http://schemas.microsoft.com/office/drawing/2014/chart" uri="{C3380CC4-5D6E-409C-BE32-E72D297353CC}">
              <c16:uniqueId val="{00000001-25DE-4D05-B68B-198E4A25152D}"/>
            </c:ext>
          </c:extLst>
        </c:ser>
        <c:dLbls>
          <c:showLegendKey val="0"/>
          <c:showVal val="0"/>
          <c:showCatName val="0"/>
          <c:showSerName val="0"/>
          <c:showPercent val="0"/>
          <c:showBubbleSize val="0"/>
        </c:dLbls>
        <c:gapWidth val="200"/>
        <c:overlap val="100"/>
        <c:axId val="1569380175"/>
        <c:axId val="882923359"/>
      </c:barChart>
      <c:lineChart>
        <c:grouping val="standard"/>
        <c:varyColors val="0"/>
        <c:ser>
          <c:idx val="6"/>
          <c:order val="1"/>
          <c:tx>
            <c:v>Actual Growth</c:v>
          </c:tx>
          <c:spPr>
            <a:ln w="19050" cap="rnd">
              <a:solidFill>
                <a:srgbClr val="003B5C"/>
              </a:solidFill>
              <a:round/>
            </a:ln>
            <a:effectLst/>
          </c:spPr>
          <c:marker>
            <c:symbol val="circle"/>
            <c:size val="5"/>
            <c:spPr>
              <a:solidFill>
                <a:srgbClr val="003B5C"/>
              </a:solidFill>
              <a:ln w="9525">
                <a:noFill/>
              </a:ln>
              <a:effectLst/>
            </c:spPr>
          </c:marker>
          <c:cat>
            <c:numRef>
              <c:f>'Estimator | Sales Tax'!$B$33:$I$33</c:f>
              <c:numCache>
                <c:formatCode>General</c:formatCode>
                <c:ptCount val="8"/>
                <c:pt idx="0">
                  <c:v>2019</c:v>
                </c:pt>
                <c:pt idx="1">
                  <c:v>2020</c:v>
                </c:pt>
                <c:pt idx="2">
                  <c:v>2021</c:v>
                </c:pt>
                <c:pt idx="3">
                  <c:v>2022</c:v>
                </c:pt>
                <c:pt idx="4">
                  <c:v>2023</c:v>
                </c:pt>
                <c:pt idx="5">
                  <c:v>2024</c:v>
                </c:pt>
                <c:pt idx="6">
                  <c:v>2025</c:v>
                </c:pt>
              </c:numCache>
            </c:numRef>
          </c:cat>
          <c:val>
            <c:numRef>
              <c:f>'Estimator | Sales Tax'!$B$34:$H$34</c:f>
              <c:numCache>
                <c:formatCode>#,##0_);\(#,##0\)</c:formatCode>
                <c:ptCount val="7"/>
                <c:pt idx="0">
                  <c:v>3382001</c:v>
                </c:pt>
                <c:pt idx="1">
                  <c:v>3473617</c:v>
                </c:pt>
                <c:pt idx="2">
                  <c:v>3701709</c:v>
                </c:pt>
                <c:pt idx="3">
                  <c:v>4262018</c:v>
                </c:pt>
                <c:pt idx="4">
                  <c:v>4736156</c:v>
                </c:pt>
                <c:pt idx="5">
                  <c:v>5020926</c:v>
                </c:pt>
                <c:pt idx="6">
                  <c:v>5123451</c:v>
                </c:pt>
              </c:numCache>
            </c:numRef>
          </c:val>
          <c:smooth val="0"/>
          <c:extLst>
            <c:ext xmlns:c16="http://schemas.microsoft.com/office/drawing/2014/chart" uri="{C3380CC4-5D6E-409C-BE32-E72D297353CC}">
              <c16:uniqueId val="{00000002-25DE-4D05-B68B-198E4A25152D}"/>
            </c:ext>
          </c:extLst>
        </c:ser>
        <c:ser>
          <c:idx val="1"/>
          <c:order val="3"/>
          <c:tx>
            <c:v>Forecasted Growth</c:v>
          </c:tx>
          <c:spPr>
            <a:ln w="28575" cap="rnd">
              <a:solidFill>
                <a:srgbClr val="9B2743"/>
              </a:solidFill>
              <a:prstDash val="sysDash"/>
              <a:round/>
            </a:ln>
            <a:effectLst/>
          </c:spPr>
          <c:marker>
            <c:symbol val="circle"/>
            <c:size val="5"/>
            <c:spPr>
              <a:solidFill>
                <a:srgbClr val="9B2743"/>
              </a:solidFill>
              <a:ln w="9525">
                <a:solidFill>
                  <a:srgbClr val="9B2743"/>
                </a:solidFill>
              </a:ln>
              <a:effectLst/>
            </c:spPr>
          </c:marker>
          <c:cat>
            <c:numRef>
              <c:f>'Estimator | Sales Tax'!$B$33:$I$33</c:f>
              <c:numCache>
                <c:formatCode>General</c:formatCode>
                <c:ptCount val="8"/>
                <c:pt idx="0">
                  <c:v>2019</c:v>
                </c:pt>
                <c:pt idx="1">
                  <c:v>2020</c:v>
                </c:pt>
                <c:pt idx="2">
                  <c:v>2021</c:v>
                </c:pt>
                <c:pt idx="3">
                  <c:v>2022</c:v>
                </c:pt>
                <c:pt idx="4">
                  <c:v>2023</c:v>
                </c:pt>
                <c:pt idx="5">
                  <c:v>2024</c:v>
                </c:pt>
                <c:pt idx="6">
                  <c:v>2025</c:v>
                </c:pt>
              </c:numCache>
            </c:numRef>
          </c:cat>
          <c:val>
            <c:numRef>
              <c:f>'Estimator | Sales Tax'!$B$37:$I$37</c:f>
              <c:numCache>
                <c:formatCode>General</c:formatCode>
                <c:ptCount val="8"/>
                <c:pt idx="6" formatCode="_(* #,##0_);_(* \(#,##0\);_(* &quot;-&quot;_);_(@_)">
                  <c:v>5123451</c:v>
                </c:pt>
                <c:pt idx="7" formatCode="_(&quot;$&quot;* #,##0_);_(&quot;$&quot;* \(#,##0\);_(&quot;$&quot;* &quot;-&quot;_);_(@_)">
                  <c:v>5328389.04</c:v>
                </c:pt>
              </c:numCache>
            </c:numRef>
          </c:val>
          <c:smooth val="0"/>
          <c:extLst>
            <c:ext xmlns:c16="http://schemas.microsoft.com/office/drawing/2014/chart" uri="{C3380CC4-5D6E-409C-BE32-E72D297353CC}">
              <c16:uniqueId val="{00000005-25DE-4D05-B68B-198E4A25152D}"/>
            </c:ext>
          </c:extLst>
        </c:ser>
        <c:dLbls>
          <c:showLegendKey val="0"/>
          <c:showVal val="0"/>
          <c:showCatName val="0"/>
          <c:showSerName val="0"/>
          <c:showPercent val="0"/>
          <c:showBubbleSize val="0"/>
        </c:dLbls>
        <c:marker val="1"/>
        <c:smooth val="0"/>
        <c:axId val="1569380175"/>
        <c:axId val="882923359"/>
      </c:lineChart>
      <c:catAx>
        <c:axId val="1569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82923359"/>
        <c:crosses val="autoZero"/>
        <c:auto val="1"/>
        <c:lblAlgn val="ctr"/>
        <c:lblOffset val="100"/>
        <c:noMultiLvlLbl val="0"/>
      </c:catAx>
      <c:valAx>
        <c:axId val="8829233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693801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Historical</a:t>
            </a:r>
            <a:r>
              <a:rPr lang="en-US" b="1" baseline="0">
                <a:solidFill>
                  <a:schemeClr val="tx1"/>
                </a:solidFill>
                <a:latin typeface="Times New Roman" panose="02020603050405020304" pitchFamily="18" charset="0"/>
                <a:cs typeface="Times New Roman" panose="02020603050405020304" pitchFamily="18" charset="0"/>
              </a:rPr>
              <a:t> and Forecasted Revenue Item</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Actual Revenue</c:v>
          </c:tx>
          <c:spPr>
            <a:solidFill>
              <a:srgbClr val="809DAE"/>
            </a:solidFill>
            <a:ln>
              <a:solidFill>
                <a:schemeClr val="tx1"/>
              </a:solidFill>
            </a:ln>
            <a:effectLst/>
          </c:spPr>
          <c:invertIfNegative val="0"/>
          <c:cat>
            <c:strRef>
              <c:f>'Estimator | Other Revenue'!$B$43:$I$43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Other Revenue'!$B$34:$I$34</c:f>
              <c:numCache>
                <c:formatCode>#,##0_);\(#,##0\)</c:formatCode>
                <c:ptCount val="8"/>
                <c:pt idx="0">
                  <c:v>294603</c:v>
                </c:pt>
                <c:pt idx="1">
                  <c:v>296344</c:v>
                </c:pt>
                <c:pt idx="2">
                  <c:v>318396</c:v>
                </c:pt>
                <c:pt idx="3">
                  <c:v>337259</c:v>
                </c:pt>
                <c:pt idx="4">
                  <c:v>319039</c:v>
                </c:pt>
                <c:pt idx="5">
                  <c:v>316162</c:v>
                </c:pt>
                <c:pt idx="6">
                  <c:v>304751</c:v>
                </c:pt>
              </c:numCache>
            </c:numRef>
          </c:val>
          <c:extLst>
            <c:ext xmlns:c16="http://schemas.microsoft.com/office/drawing/2014/chart" uri="{C3380CC4-5D6E-409C-BE32-E72D297353CC}">
              <c16:uniqueId val="{00000000-89C0-4E4E-B51A-1C8BAAC1CC98}"/>
            </c:ext>
          </c:extLst>
        </c:ser>
        <c:ser>
          <c:idx val="7"/>
          <c:order val="2"/>
          <c:tx>
            <c:v>Forecasted Revenue</c:v>
          </c:tx>
          <c:spPr>
            <a:pattFill prst="pct60">
              <a:fgClr>
                <a:srgbClr val="CD93A1"/>
              </a:fgClr>
              <a:bgClr>
                <a:schemeClr val="bg1"/>
              </a:bgClr>
            </a:pattFill>
            <a:ln>
              <a:solidFill>
                <a:schemeClr val="tx1"/>
              </a:solidFill>
            </a:ln>
            <a:effectLst/>
          </c:spPr>
          <c:invertIfNegative val="0"/>
          <c:dLbls>
            <c:numFmt formatCode="&quot;$&quot;\ #,##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'Estimator | Other Revenue'!$B$43:$I$43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Other Revenue'!$B$36:$I$36</c:f>
              <c:numCache>
                <c:formatCode>General</c:formatCode>
                <c:ptCount val="8"/>
                <c:pt idx="7" formatCode="_(&quot;$&quot;* #,##0_);_(&quot;$&quot;* \(#,##0\);_(&quot;$&quot;* &quot;-&quot;_);_(@_)">
                  <c:v>306274.75499999995</c:v>
                </c:pt>
              </c:numCache>
            </c:numRef>
          </c:val>
          <c:extLst>
            <c:ext xmlns:c16="http://schemas.microsoft.com/office/drawing/2014/chart" uri="{C3380CC4-5D6E-409C-BE32-E72D297353CC}">
              <c16:uniqueId val="{00000001-89C0-4E4E-B51A-1C8BAAC1CC98}"/>
            </c:ext>
          </c:extLst>
        </c:ser>
        <c:dLbls>
          <c:showLegendKey val="0"/>
          <c:showVal val="0"/>
          <c:showCatName val="0"/>
          <c:showSerName val="0"/>
          <c:showPercent val="0"/>
          <c:showBubbleSize val="0"/>
        </c:dLbls>
        <c:gapWidth val="200"/>
        <c:overlap val="100"/>
        <c:axId val="1569380175"/>
        <c:axId val="882923359"/>
      </c:barChart>
      <c:lineChart>
        <c:grouping val="standard"/>
        <c:varyColors val="0"/>
        <c:ser>
          <c:idx val="6"/>
          <c:order val="1"/>
          <c:tx>
            <c:v>Actual Growth</c:v>
          </c:tx>
          <c:spPr>
            <a:ln w="19050" cap="rnd">
              <a:solidFill>
                <a:srgbClr val="003B5C"/>
              </a:solidFill>
              <a:round/>
            </a:ln>
            <a:effectLst/>
          </c:spPr>
          <c:marker>
            <c:symbol val="circle"/>
            <c:size val="5"/>
            <c:spPr>
              <a:solidFill>
                <a:srgbClr val="003B5C"/>
              </a:solidFill>
              <a:ln w="9525">
                <a:noFill/>
              </a:ln>
              <a:effectLst/>
            </c:spPr>
          </c:marker>
          <c:cat>
            <c:numRef>
              <c:f>'Estimator | Other Revenue'!$B$33:$I$33</c:f>
              <c:numCache>
                <c:formatCode>General</c:formatCode>
                <c:ptCount val="8"/>
                <c:pt idx="0">
                  <c:v>2019</c:v>
                </c:pt>
                <c:pt idx="1">
                  <c:v>2020</c:v>
                </c:pt>
                <c:pt idx="2">
                  <c:v>2021</c:v>
                </c:pt>
                <c:pt idx="3">
                  <c:v>2022</c:v>
                </c:pt>
                <c:pt idx="4">
                  <c:v>2023</c:v>
                </c:pt>
                <c:pt idx="5">
                  <c:v>2024</c:v>
                </c:pt>
                <c:pt idx="6">
                  <c:v>2025</c:v>
                </c:pt>
              </c:numCache>
            </c:numRef>
          </c:cat>
          <c:val>
            <c:numRef>
              <c:f>'Estimator | Other Revenue'!$B$34:$H$34</c:f>
              <c:numCache>
                <c:formatCode>#,##0_);\(#,##0\)</c:formatCode>
                <c:ptCount val="7"/>
                <c:pt idx="0">
                  <c:v>294603</c:v>
                </c:pt>
                <c:pt idx="1">
                  <c:v>296344</c:v>
                </c:pt>
                <c:pt idx="2">
                  <c:v>318396</c:v>
                </c:pt>
                <c:pt idx="3">
                  <c:v>337259</c:v>
                </c:pt>
                <c:pt idx="4">
                  <c:v>319039</c:v>
                </c:pt>
                <c:pt idx="5">
                  <c:v>316162</c:v>
                </c:pt>
                <c:pt idx="6">
                  <c:v>304751</c:v>
                </c:pt>
              </c:numCache>
            </c:numRef>
          </c:val>
          <c:smooth val="0"/>
          <c:extLst>
            <c:ext xmlns:c16="http://schemas.microsoft.com/office/drawing/2014/chart" uri="{C3380CC4-5D6E-409C-BE32-E72D297353CC}">
              <c16:uniqueId val="{00000002-89C0-4E4E-B51A-1C8BAAC1CC98}"/>
            </c:ext>
          </c:extLst>
        </c:ser>
        <c:ser>
          <c:idx val="1"/>
          <c:order val="3"/>
          <c:tx>
            <c:v>Forecasted Growth</c:v>
          </c:tx>
          <c:spPr>
            <a:ln w="28575" cap="rnd">
              <a:solidFill>
                <a:srgbClr val="9B2743"/>
              </a:solidFill>
              <a:prstDash val="sysDash"/>
              <a:round/>
            </a:ln>
            <a:effectLst/>
          </c:spPr>
          <c:marker>
            <c:symbol val="circle"/>
            <c:size val="5"/>
            <c:spPr>
              <a:solidFill>
                <a:srgbClr val="9B2743"/>
              </a:solidFill>
              <a:ln w="9525">
                <a:solidFill>
                  <a:srgbClr val="9B2743"/>
                </a:solidFill>
              </a:ln>
              <a:effectLst/>
            </c:spPr>
          </c:marker>
          <c:cat>
            <c:numRef>
              <c:f>'Estimator | Other Revenue'!$B$33:$I$33</c:f>
              <c:numCache>
                <c:formatCode>General</c:formatCode>
                <c:ptCount val="8"/>
                <c:pt idx="0">
                  <c:v>2019</c:v>
                </c:pt>
                <c:pt idx="1">
                  <c:v>2020</c:v>
                </c:pt>
                <c:pt idx="2">
                  <c:v>2021</c:v>
                </c:pt>
                <c:pt idx="3">
                  <c:v>2022</c:v>
                </c:pt>
                <c:pt idx="4">
                  <c:v>2023</c:v>
                </c:pt>
                <c:pt idx="5">
                  <c:v>2024</c:v>
                </c:pt>
                <c:pt idx="6">
                  <c:v>2025</c:v>
                </c:pt>
              </c:numCache>
            </c:numRef>
          </c:cat>
          <c:val>
            <c:numRef>
              <c:f>'Estimator | Other Revenue'!$B$37:$I$37</c:f>
              <c:numCache>
                <c:formatCode>General</c:formatCode>
                <c:ptCount val="8"/>
                <c:pt idx="6" formatCode="_(* #,##0_);_(* \(#,##0\);_(* &quot;-&quot;_);_(@_)">
                  <c:v>304751</c:v>
                </c:pt>
                <c:pt idx="7" formatCode="_(&quot;$&quot;* #,##0_);_(&quot;$&quot;* \(#,##0\);_(&quot;$&quot;* &quot;-&quot;_);_(@_)">
                  <c:v>306274.75499999995</c:v>
                </c:pt>
              </c:numCache>
            </c:numRef>
          </c:val>
          <c:smooth val="0"/>
          <c:extLst>
            <c:ext xmlns:c16="http://schemas.microsoft.com/office/drawing/2014/chart" uri="{C3380CC4-5D6E-409C-BE32-E72D297353CC}">
              <c16:uniqueId val="{00000003-89C0-4E4E-B51A-1C8BAAC1CC98}"/>
            </c:ext>
          </c:extLst>
        </c:ser>
        <c:dLbls>
          <c:showLegendKey val="0"/>
          <c:showVal val="0"/>
          <c:showCatName val="0"/>
          <c:showSerName val="0"/>
          <c:showPercent val="0"/>
          <c:showBubbleSize val="0"/>
        </c:dLbls>
        <c:marker val="1"/>
        <c:smooth val="0"/>
        <c:axId val="1569380175"/>
        <c:axId val="882923359"/>
      </c:lineChart>
      <c:catAx>
        <c:axId val="1569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82923359"/>
        <c:crosses val="autoZero"/>
        <c:auto val="1"/>
        <c:lblAlgn val="ctr"/>
        <c:lblOffset val="100"/>
        <c:noMultiLvlLbl val="0"/>
      </c:catAx>
      <c:valAx>
        <c:axId val="8829233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693801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A$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D$1" lockText="1" noThreeD="1"/>
</file>

<file path=xl/ctrlProps/ctrlProp5.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20</xdr:col>
      <xdr:colOff>161925</xdr:colOff>
      <xdr:row>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33350"/>
          <a:ext cx="12249150" cy="134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ysClr val="windowText" lastClr="000000"/>
              </a:solidFill>
              <a:latin typeface="Times New Roman" panose="02020603050405020304" pitchFamily="18" charset="0"/>
              <a:ea typeface="+mn-ea"/>
              <a:cs typeface="Times New Roman" panose="02020603050405020304" pitchFamily="18" charset="0"/>
            </a:rPr>
            <a:t>Pursuant to T.C.A. § 4-3-305, the Comptroller's office prescribes forms and procedures for the preparation of annual budgets. On the following tabs you will find the Comptroller's required budget schedules.  The schedules (Budget Summary, Debt Service and Cash Flow Forecast) are to be submitted to the Division of Local Government Finance "LGF" at </a:t>
          </a:r>
          <a:r>
            <a:rPr lang="en-US" sz="1200" u="sng" baseline="0">
              <a:solidFill>
                <a:srgbClr val="0070C0"/>
              </a:solidFill>
              <a:latin typeface="Times New Roman" panose="02020603050405020304" pitchFamily="18" charset="0"/>
              <a:ea typeface="+mn-ea"/>
              <a:cs typeface="Times New Roman" panose="02020603050405020304" pitchFamily="18" charset="0"/>
            </a:rPr>
            <a:t>LGF@cot.tn.gov</a:t>
          </a:r>
          <a:r>
            <a:rPr lang="en-US" sz="1200" u="none" baseline="0">
              <a:solidFill>
                <a:srgbClr val="0070C0"/>
              </a:solidFill>
              <a:latin typeface="Times New Roman" panose="02020603050405020304" pitchFamily="18" charset="0"/>
              <a:ea typeface="+mn-ea"/>
              <a:cs typeface="Times New Roman" panose="02020603050405020304" pitchFamily="18" charset="0"/>
            </a:rPr>
            <a:t> </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w</a:t>
          </a:r>
          <a:r>
            <a:rPr lang="en-US" sz="1200" baseline="0">
              <a:solidFill>
                <a:sysClr val="windowText" lastClr="000000"/>
              </a:solidFill>
              <a:latin typeface="Times New Roman" panose="02020603050405020304" pitchFamily="18" charset="0"/>
              <a:ea typeface="+mn-ea"/>
              <a:cs typeface="Times New Roman" panose="02020603050405020304" pitchFamily="18" charset="0"/>
            </a:rPr>
            <a:t>ith your budget and detailed budgets for each fund.  Each of these schedules are described in more detail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u="none" baseline="0">
              <a:solidFill>
                <a:srgbClr val="9B2743"/>
              </a:solidFill>
              <a:latin typeface="Times New Roman" panose="02020603050405020304" pitchFamily="18" charset="0"/>
              <a:cs typeface="Times New Roman" panose="02020603050405020304" pitchFamily="18" charset="0"/>
            </a:rPr>
            <a:t>Please Note: Item 1 is required for all governments, Items 2-5 are required in certain circumstances as discribed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1. Budget Summary Schedule</a:t>
          </a:r>
        </a:p>
        <a:p>
          <a:r>
            <a:rPr lang="en-US" sz="1200" u="sng" baseline="0">
              <a:solidFill>
                <a:sysClr val="windowText" lastClr="000000"/>
              </a:solidFill>
              <a:latin typeface="Times New Roman" panose="02020603050405020304" pitchFamily="18" charset="0"/>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cs typeface="Times New Roman" panose="02020603050405020304" pitchFamily="18" charset="0"/>
            </a:rPr>
            <a:t>:	For all local governments.</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Projected revenues and appropriations with estimated beginning and ending fund balances by individual fund.</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Summarizes budgeted spending for all funds.</a:t>
          </a:r>
        </a:p>
        <a:p>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Calculates the amount of ending cash as a percentage of total fund expenditures.  If that percentage is less than 15% then please see Cash Flow </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Forecast Schedule below.</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2. Schedule of Outstanding Debt and Budgeted Debt Service</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local governments that have debt outstanding.</a:t>
          </a:r>
        </a:p>
        <a:p>
          <a:endParaRPr lang="en-US" sz="1200" u="sng" baseline="0">
            <a:solidFill>
              <a:schemeClr val="dk1"/>
            </a:solidFill>
            <a:effectLst/>
            <a:latin typeface="Times New Roman" panose="02020603050405020304" pitchFamily="18" charset="0"/>
            <a:ea typeface="+mn-ea"/>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Listing of authorized and outstanding debt with principal and interest payments appropriated by fund for the budget year and corresponding </a:t>
          </a:r>
        </a:p>
        <a:p>
          <a:r>
            <a:rPr lang="en-US" sz="1200" baseline="0">
              <a:solidFill>
                <a:sysClr val="windowText" lastClr="000000"/>
              </a:solidFill>
              <a:latin typeface="Times New Roman" panose="02020603050405020304" pitchFamily="18" charset="0"/>
              <a:cs typeface="Times New Roman" panose="02020603050405020304" pitchFamily="18" charset="0"/>
            </a:rPr>
            <a:t>                        budget page location.</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To reflect all outstanding debt in one schedule that reconciles annual principal and interest amounts to the exact page number of the detailed budget to</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ensure compliance with T.C.A. § 9-21-403.  (Please note: enterprise funds will budget interest expense and depreciation, but please include principal amounts on this schedule.)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Times New Roman" panose="02020603050405020304" pitchFamily="18" charset="0"/>
              <a:ea typeface="+mn-ea"/>
              <a:cs typeface="Times New Roman" panose="02020603050405020304" pitchFamily="18" charset="0"/>
            </a:rPr>
            <a:t>3. Revenue Estimate for Property Tax  </a:t>
          </a:r>
        </a:p>
        <a:p>
          <a:pPr eaLnBrk="1" fontAlgn="auto" latinLnBrk="0" hangingPunct="1"/>
          <a:endParaRPr lang="en-US"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For all local governments with a property tax.</a:t>
          </a:r>
          <a:endParaRPr lang="en-US" sz="1200">
            <a:effectLst/>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Description</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 </a:t>
          </a:r>
          <a:r>
            <a:rPr lang="en-US" sz="1200" u="none" baseline="0">
              <a:solidFill>
                <a:schemeClr val="dk1"/>
              </a:solidFill>
              <a:effectLst/>
              <a:latin typeface="Times New Roman" panose="02020603050405020304" pitchFamily="18" charset="0"/>
              <a:ea typeface="+mn-ea"/>
              <a:cs typeface="Times New Roman" panose="02020603050405020304" pitchFamily="18" charset="0"/>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	A simple toll to help estimate property taxes for either a city with a single tax rate or a county with mulitple funds with tax rates.</a:t>
          </a:r>
          <a:endParaRPr lang="en-US" sz="1200">
            <a:effectLst/>
            <a:latin typeface="Times New Roman" panose="02020603050405020304" pitchFamily="18" charset="0"/>
            <a:cs typeface="Times New Roman" panose="02020603050405020304" pitchFamily="18" charset="0"/>
          </a:endParaRPr>
        </a:p>
        <a:p>
          <a:r>
            <a:rPr lang="en-US" sz="1200" u="sng" baseline="0">
              <a:solidFill>
                <a:schemeClr val="dk1"/>
              </a:solidFill>
              <a:effectLst/>
              <a:latin typeface="Times New Roman" panose="02020603050405020304" pitchFamily="18" charset="0"/>
              <a:ea typeface="+mn-ea"/>
              <a:cs typeface="Times New Roman" panose="02020603050405020304" pitchFamily="18" charset="0"/>
            </a:rPr>
            <a:t>Purpose</a:t>
          </a:r>
          <a:r>
            <a:rPr lang="en-US" sz="1200" baseline="0">
              <a:solidFill>
                <a:schemeClr val="dk1"/>
              </a:solidFill>
              <a:effectLst/>
              <a:latin typeface="Times New Roman" panose="02020603050405020304" pitchFamily="18" charset="0"/>
              <a:ea typeface="+mn-ea"/>
              <a:cs typeface="Times New Roman" panose="02020603050405020304" pitchFamily="18" charset="0"/>
            </a:rPr>
            <a:t>:	To provide an estimated tax collection amount for acurate revenue estimating in the budget. </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See our website for helpful videos: </a:t>
          </a:r>
          <a:r>
            <a:rPr lang="en-US" sz="1200" b="0" i="0" u="sng" baseline="0">
              <a:solidFill>
                <a:schemeClr val="dk1"/>
              </a:solidFill>
              <a:effectLst/>
              <a:latin typeface="Times New Roman" panose="02020603050405020304" pitchFamily="18" charset="0"/>
              <a:ea typeface="+mn-ea"/>
              <a:cs typeface="Times New Roman" panose="02020603050405020304" pitchFamily="18" charset="0"/>
            </a:rPr>
            <a:t>https://comptroller.tn.gov/office-functions/lgf/budgets/instructional-videos.html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endParaRPr lang="en-US" sz="1200">
            <a:effectLst/>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Revenue Estimate for Sales Tax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For all local governments that receive a local sales tax.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 simple tool to help estimate sales tax collections for cities or counties.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provide an estimated tax collection amount for accurate revenue estimating in the budget.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See our website for helpful videos: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https://comptroller.tn.gov/office-functions/lgf/budgets/instructional-videos.html </a:t>
          </a:r>
          <a:endParaRPr lang="en-US" sz="1200" b="1" baseline="0">
            <a:solidFill>
              <a:sysClr val="windowText" lastClr="000000"/>
            </a:solidFill>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5. Cash Flow Forecast Schedule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all local governments and must be prepared for: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perating funds that meet one or more of the following criteria:</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 Projects a budgeted ending cash balance of less than 15% of annual expenditures, excluding nonrecurring capital purchases; or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 Reported an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ending cash balance in the prior year audit less than 15% of annual expenditures, excluding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nonrecurring capital purchases.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that received proceeds from TRANs for the past two consecutive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as requested by our office during our review of the annual budget; or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  All operating fund(s) if the prior fiscal year audit has not been issued and is 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1"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Operating Funds</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are defined as funds that account for expenditures/expenses that are recurring or day-to-day such as salaries, benefits, utilities, etc.  The</a:t>
          </a:r>
          <a:b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General Fund and General Purpose School Fund will always meet the definition of an operating fund.</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Monthly cash flow estimates for the budget year.</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facilitate an analysis of cash flows for specific funds.</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identify cash flow problems, investigate reasons for those problems, and determine solutions.  </a:t>
          </a:r>
        </a:p>
        <a:p>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If the schedule shows any month with a negative ending cash balance we will ask for a corrective action plan or for the city to issue a tax anticipation note.</a:t>
          </a:r>
          <a:endPar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Although this schedule is only required for the aforementioned funds, we recommend that the schedule be used for all funds to help provide a better </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understanding of the government's cash flows and working capital requirements.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Cash flow schedules are very useful to local governments to ensure adequate reserves are maintained and in determining how much cash is needed</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fund current operations and how much can be invested to minimize idle cash.</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kumimoji="0" lang="en-US" sz="1200" b="0" i="0" u="sng"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Notes</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A review of cash flows will be initiated by our office for any operating fund with a cash balance of less than 15% at the end of the year.  Please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note that 15% is merely a threshold set by our office that prompts a review of cash flows.  Best practice dictates a larger amount.  </a:t>
          </a:r>
        </a:p>
        <a:p>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Our office recommends a target minimum fund balance for operating funds sufficient to meet the fund's disbursement cycle, provide reserves for </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unforeseen emergencies or revenue shortfalls and to eliminate the need for short-term borrowing.  If you need assistance in establishing a cash management</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or fund balance policy, please contact your MTAS or CTAS consultant.               </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need assistance preparing projected cash flow schedules, please contact your MTAS or CTAS consultant or your LGF analyst.  Cash flows (in and</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out) are cyclical and vary from month to month.  A review of your government's bank statements will assist in preparing the schedule(s).  A cash</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flow analysis should not be created by merely dividing cash receipts/disbursements for the year by twelve months.</a:t>
          </a:r>
        </a:p>
        <a:p>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Local governments that have budgeted an ending cash balance less than one month's average expenditures will be requested by our office to initiate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the preparation of monthly cash flow reports to present to its governing body.  </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76200</xdr:rowOff>
        </xdr:from>
        <xdr:to>
          <xdr:col>3</xdr:col>
          <xdr:colOff>400050</xdr:colOff>
          <xdr:row>18</xdr:row>
          <xdr:rowOff>114300</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31</a:t>
              </a:r>
            </a:p>
          </xdr:txBody>
        </xdr:sp>
        <xdr:clientData/>
      </xdr:twoCellAnchor>
    </mc:Choice>
    <mc:Fallback/>
  </mc:AlternateContent>
  <xdr:twoCellAnchor>
    <xdr:from>
      <xdr:col>0</xdr:col>
      <xdr:colOff>439191</xdr:colOff>
      <xdr:row>36</xdr:row>
      <xdr:rowOff>48900</xdr:rowOff>
    </xdr:from>
    <xdr:to>
      <xdr:col>0</xdr:col>
      <xdr:colOff>2040256</xdr:colOff>
      <xdr:row>38</xdr:row>
      <xdr:rowOff>99059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9191" y="4186983"/>
          <a:ext cx="1601065" cy="388826"/>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0">
              <a:solidFill>
                <a:schemeClr val="tx1"/>
              </a:solidFill>
              <a:effectLst/>
              <a:latin typeface="+mn-lt"/>
              <a:ea typeface="+mn-ea"/>
              <a:cs typeface="+mn-cs"/>
            </a:rPr>
            <a:t>Click</a:t>
          </a:r>
          <a:r>
            <a:rPr lang="en-US" sz="900" b="0" baseline="0">
              <a:solidFill>
                <a:schemeClr val="tx1"/>
              </a:solidFill>
              <a:effectLst/>
              <a:latin typeface="+mn-lt"/>
              <a:ea typeface="+mn-ea"/>
              <a:cs typeface="+mn-cs"/>
            </a:rPr>
            <a:t> icon on left to expand (+) or reduce (-) rows.</a:t>
          </a:r>
          <a:endParaRPr lang="en-US" sz="900">
            <a:effectLst/>
          </a:endParaRPr>
        </a:p>
      </xdr:txBody>
    </xdr:sp>
    <xdr:clientData/>
  </xdr:twoCellAnchor>
  <xdr:twoCellAnchor>
    <xdr:from>
      <xdr:col>0</xdr:col>
      <xdr:colOff>34637</xdr:colOff>
      <xdr:row>36</xdr:row>
      <xdr:rowOff>95251</xdr:rowOff>
    </xdr:from>
    <xdr:to>
      <xdr:col>0</xdr:col>
      <xdr:colOff>435382</xdr:colOff>
      <xdr:row>37</xdr:row>
      <xdr:rowOff>73028</xdr:rowOff>
    </xdr:to>
    <xdr:cxnSp macro="">
      <xdr:nvCxnSpPr>
        <xdr:cNvPr id="9" name="Connector: Elbow 8">
          <a:extLst>
            <a:ext uri="{FF2B5EF4-FFF2-40B4-BE49-F238E27FC236}">
              <a16:creationId xmlns:a16="http://schemas.microsoft.com/office/drawing/2014/main" id="{00000000-0008-0000-0100-000009000000}"/>
            </a:ext>
          </a:extLst>
        </xdr:cNvPr>
        <xdr:cNvCxnSpPr>
          <a:stCxn id="3" idx="1"/>
        </xdr:cNvCxnSpPr>
      </xdr:nvCxnSpPr>
      <xdr:spPr>
        <a:xfrm rot="10800000">
          <a:off x="34637" y="4303569"/>
          <a:ext cx="400745" cy="150959"/>
        </a:xfrm>
        <a:prstGeom prst="bentConnector3">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439265</xdr:colOff>
      <xdr:row>55</xdr:row>
      <xdr:rowOff>43180</xdr:rowOff>
    </xdr:from>
    <xdr:to>
      <xdr:col>0</xdr:col>
      <xdr:colOff>2036520</xdr:colOff>
      <xdr:row>57</xdr:row>
      <xdr:rowOff>83815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39265" y="7271597"/>
          <a:ext cx="1597255" cy="379301"/>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0">
              <a:solidFill>
                <a:schemeClr val="tx1"/>
              </a:solidFill>
              <a:effectLst/>
              <a:latin typeface="+mn-lt"/>
              <a:ea typeface="+mn-ea"/>
              <a:cs typeface="+mn-cs"/>
            </a:rPr>
            <a:t>Click</a:t>
          </a:r>
          <a:r>
            <a:rPr lang="en-US" sz="900" b="0" baseline="0">
              <a:solidFill>
                <a:schemeClr val="tx1"/>
              </a:solidFill>
              <a:effectLst/>
              <a:latin typeface="+mn-lt"/>
              <a:ea typeface="+mn-ea"/>
              <a:cs typeface="+mn-cs"/>
            </a:rPr>
            <a:t> icon on left to expand (+) or reduce (-) rows.</a:t>
          </a:r>
          <a:endParaRPr lang="en-US" sz="900">
            <a:effectLst/>
          </a:endParaRPr>
        </a:p>
      </xdr:txBody>
    </xdr:sp>
    <xdr:clientData/>
  </xdr:twoCellAnchor>
  <xdr:twoCellAnchor>
    <xdr:from>
      <xdr:col>0</xdr:col>
      <xdr:colOff>38521</xdr:colOff>
      <xdr:row>55</xdr:row>
      <xdr:rowOff>83816</xdr:rowOff>
    </xdr:from>
    <xdr:to>
      <xdr:col>0</xdr:col>
      <xdr:colOff>437361</xdr:colOff>
      <xdr:row>56</xdr:row>
      <xdr:rowOff>50164</xdr:rowOff>
    </xdr:to>
    <xdr:cxnSp macro="">
      <xdr:nvCxnSpPr>
        <xdr:cNvPr id="15" name="Connector: Elbow 14">
          <a:extLst>
            <a:ext uri="{FF2B5EF4-FFF2-40B4-BE49-F238E27FC236}">
              <a16:creationId xmlns:a16="http://schemas.microsoft.com/office/drawing/2014/main" id="{00000000-0008-0000-0100-00000F000000}"/>
            </a:ext>
          </a:extLst>
        </xdr:cNvPr>
        <xdr:cNvCxnSpPr>
          <a:stCxn id="14" idx="1"/>
        </xdr:cNvCxnSpPr>
      </xdr:nvCxnSpPr>
      <xdr:spPr>
        <a:xfrm rot="10800000">
          <a:off x="38521" y="7312233"/>
          <a:ext cx="398840" cy="135681"/>
        </a:xfrm>
        <a:prstGeom prst="bentConnector3">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396240</xdr:colOff>
          <xdr:row>6</xdr:row>
          <xdr:rowOff>0</xdr:rowOff>
        </xdr:from>
        <xdr:to>
          <xdr:col>2</xdr:col>
          <xdr:colOff>1512570</xdr:colOff>
          <xdr:row>7</xdr:row>
          <xdr:rowOff>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891915" y="1543050"/>
              <a:ext cx="1116330" cy="238125"/>
              <a:chOff x="3642364" y="1257300"/>
              <a:chExt cx="1112484" cy="220980"/>
            </a:xfrm>
          </xdr:grpSpPr>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42364" y="1257300"/>
                <a:ext cx="548640" cy="220980"/>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206208" y="1257300"/>
                <a:ext cx="548640" cy="220980"/>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2</xdr:col>
      <xdr:colOff>1668780</xdr:colOff>
      <xdr:row>6</xdr:row>
      <xdr:rowOff>114300</xdr:rowOff>
    </xdr:from>
    <xdr:to>
      <xdr:col>2</xdr:col>
      <xdr:colOff>2400300</xdr:colOff>
      <xdr:row>6</xdr:row>
      <xdr:rowOff>114300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5257800" y="1390650"/>
          <a:ext cx="7334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xdr:colOff>
      <xdr:row>40</xdr:row>
      <xdr:rowOff>53341</xdr:rowOff>
    </xdr:from>
    <xdr:to>
      <xdr:col>1</xdr:col>
      <xdr:colOff>1043940</xdr:colOff>
      <xdr:row>41</xdr:row>
      <xdr:rowOff>26671</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49530" y="5120641"/>
          <a:ext cx="3442335" cy="163830"/>
          <a:chOff x="20320" y="4059402"/>
          <a:chExt cx="2001520" cy="405367"/>
        </a:xfrm>
      </xdr:grpSpPr>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6880" y="4059402"/>
            <a:ext cx="1584960" cy="405367"/>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000" b="0"/>
              <a:t>Click</a:t>
            </a:r>
            <a:r>
              <a:rPr lang="en-US" sz="1000" b="0" baseline="0"/>
              <a:t> icon on left to expand (+) or reduce (-) rows.</a:t>
            </a:r>
          </a:p>
        </xdr:txBody>
      </xdr:sp>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20320" y="4102100"/>
            <a:ext cx="4114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609600</xdr:colOff>
      <xdr:row>6</xdr:row>
      <xdr:rowOff>113030</xdr:rowOff>
    </xdr:from>
    <xdr:to>
      <xdr:col>2</xdr:col>
      <xdr:colOff>259080</xdr:colOff>
      <xdr:row>6</xdr:row>
      <xdr:rowOff>113030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3124200" y="1389380"/>
          <a:ext cx="7239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78105</xdr:colOff>
      <xdr:row>5</xdr:row>
      <xdr:rowOff>95250</xdr:rowOff>
    </xdr:from>
    <xdr:to>
      <xdr:col>5</xdr:col>
      <xdr:colOff>304800</xdr:colOff>
      <xdr:row>9</xdr:row>
      <xdr:rowOff>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01955" y="1200150"/>
          <a:ext cx="5341620" cy="628650"/>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Times New Roman" panose="02020603050405020304" pitchFamily="18" charset="0"/>
              <a:ea typeface="+mn-ea"/>
              <a:cs typeface="Times New Roman" panose="02020603050405020304" pitchFamily="18" charset="0"/>
            </a:rPr>
            <a:t>No user input is required on this tab.</a:t>
          </a:r>
          <a:r>
            <a:rPr lang="en-US" sz="1100" b="0" baseline="0">
              <a:solidFill>
                <a:schemeClr val="tx1"/>
              </a:solidFill>
              <a:effectLst/>
              <a:latin typeface="Times New Roman" panose="02020603050405020304" pitchFamily="18" charset="0"/>
              <a:ea typeface="+mn-ea"/>
              <a:cs typeface="Times New Roman" panose="02020603050405020304" pitchFamily="18" charset="0"/>
            </a:rPr>
            <a:t> </a:t>
          </a:r>
          <a:r>
            <a:rPr lang="en-US" sz="1100" b="0">
              <a:solidFill>
                <a:schemeClr val="tx1"/>
              </a:solidFill>
              <a:effectLst/>
              <a:latin typeface="Times New Roman" panose="02020603050405020304" pitchFamily="18" charset="0"/>
              <a:ea typeface="+mn-ea"/>
              <a:cs typeface="Times New Roman" panose="02020603050405020304" pitchFamily="18" charset="0"/>
            </a:rPr>
            <a:t>The purpose of this tab is to provide a</a:t>
          </a:r>
          <a:r>
            <a:rPr lang="en-US" sz="1100" b="0" baseline="0">
              <a:solidFill>
                <a:schemeClr val="tx1"/>
              </a:solidFill>
              <a:effectLst/>
              <a:latin typeface="Times New Roman" panose="02020603050405020304" pitchFamily="18" charset="0"/>
              <a:ea typeface="+mn-ea"/>
              <a:cs typeface="Times New Roman" panose="02020603050405020304" pitchFamily="18" charset="0"/>
            </a:rPr>
            <a:t> printer friendly cash flow report.  </a:t>
          </a:r>
          <a:r>
            <a:rPr lang="en-US" sz="1100" b="0">
              <a:solidFill>
                <a:schemeClr val="tx1"/>
              </a:solidFill>
              <a:effectLst/>
              <a:latin typeface="Times New Roman" panose="02020603050405020304" pitchFamily="18" charset="0"/>
              <a:ea typeface="+mn-ea"/>
              <a:cs typeface="Times New Roman" panose="02020603050405020304" pitchFamily="18" charset="0"/>
            </a:rPr>
            <a:t>The</a:t>
          </a:r>
          <a:r>
            <a:rPr lang="en-US" sz="1100" b="0" baseline="0">
              <a:solidFill>
                <a:schemeClr val="tx1"/>
              </a:solidFill>
              <a:effectLst/>
              <a:latin typeface="Times New Roman" panose="02020603050405020304" pitchFamily="18" charset="0"/>
              <a:ea typeface="+mn-ea"/>
              <a:cs typeface="Times New Roman" panose="02020603050405020304" pitchFamily="18" charset="0"/>
            </a:rPr>
            <a:t> cash flow schedule on this tab is auto populated from information inputted on the prior tab, "Step 3) Cash Flow."</a:t>
          </a:r>
          <a:endParaRPr lang="en-US" sz="1100" b="0">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66674</xdr:colOff>
      <xdr:row>27</xdr:row>
      <xdr:rowOff>38100</xdr:rowOff>
    </xdr:from>
    <xdr:to>
      <xdr:col>11</xdr:col>
      <xdr:colOff>647700</xdr:colOff>
      <xdr:row>49</xdr:row>
      <xdr:rowOff>76200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1047182</xdr:colOff>
          <xdr:row>2</xdr:row>
          <xdr:rowOff>172235</xdr:rowOff>
        </xdr:from>
        <xdr:to>
          <xdr:col>4</xdr:col>
          <xdr:colOff>22820</xdr:colOff>
          <xdr:row>3</xdr:row>
          <xdr:rowOff>202414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495107" y="667535"/>
              <a:ext cx="2118888" cy="220679"/>
              <a:chOff x="3336457" y="689099"/>
              <a:chExt cx="2198619" cy="248026"/>
            </a:xfrm>
          </xdr:grpSpPr>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3336457" y="689099"/>
                <a:ext cx="1095919" cy="244856"/>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City or Town</a:t>
                </a:r>
              </a:p>
            </xdr:txBody>
          </xdr:sp>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4440788" y="690090"/>
                <a:ext cx="1094288" cy="247035"/>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 or Metro</a:t>
                </a:r>
              </a:p>
            </xdr:txBody>
          </xdr:sp>
        </xdr:grpSp>
        <xdr:clientData/>
      </xdr:twoCellAnchor>
    </mc:Choice>
    <mc:Fallback/>
  </mc:AlternateContent>
  <xdr:twoCellAnchor>
    <xdr:from>
      <xdr:col>1</xdr:col>
      <xdr:colOff>181610</xdr:colOff>
      <xdr:row>3</xdr:row>
      <xdr:rowOff>114935</xdr:rowOff>
    </xdr:from>
    <xdr:to>
      <xdr:col>1</xdr:col>
      <xdr:colOff>866321</xdr:colOff>
      <xdr:row>3</xdr:row>
      <xdr:rowOff>114935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a:off x="2698931" y="788489"/>
          <a:ext cx="68471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228075</xdr:colOff>
      <xdr:row>3</xdr:row>
      <xdr:rowOff>112395</xdr:rowOff>
    </xdr:from>
    <xdr:to>
      <xdr:col>4</xdr:col>
      <xdr:colOff>883395</xdr:colOff>
      <xdr:row>3</xdr:row>
      <xdr:rowOff>112395</xdr:rowOff>
    </xdr:to>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a:off x="5970289" y="785949"/>
          <a:ext cx="6553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55</xdr:row>
      <xdr:rowOff>38099</xdr:rowOff>
    </xdr:from>
    <xdr:to>
      <xdr:col>8</xdr:col>
      <xdr:colOff>857250</xdr:colOff>
      <xdr:row>72</xdr:row>
      <xdr:rowOff>142874</xdr:rowOff>
    </xdr:to>
    <xdr:graphicFrame macro="">
      <xdr:nvGraphicFramePr>
        <xdr:cNvPr id="13" name="Chart 12">
          <a:extLst>
            <a:ext uri="{FF2B5EF4-FFF2-40B4-BE49-F238E27FC236}">
              <a16:creationId xmlns:a16="http://schemas.microsoft.com/office/drawing/2014/main" id="{A6E67A30-F683-498D-B555-A7AA5B9D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55</xdr:row>
      <xdr:rowOff>38099</xdr:rowOff>
    </xdr:from>
    <xdr:to>
      <xdr:col>8</xdr:col>
      <xdr:colOff>857250</xdr:colOff>
      <xdr:row>72</xdr:row>
      <xdr:rowOff>142874</xdr:rowOff>
    </xdr:to>
    <xdr:graphicFrame macro="">
      <xdr:nvGraphicFramePr>
        <xdr:cNvPr id="2" name="Chart 1">
          <a:extLst>
            <a:ext uri="{FF2B5EF4-FFF2-40B4-BE49-F238E27FC236}">
              <a16:creationId xmlns:a16="http://schemas.microsoft.com/office/drawing/2014/main" id="{512DA24B-EE7E-4F9E-B8B1-A81E038B8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D1A-91FC-45B8-807A-2DF19A316C99}">
  <sheetPr codeName="Sheet2"/>
  <dimension ref="A1"/>
  <sheetViews>
    <sheetView workbookViewId="0">
      <selection activeCell="V1" sqref="V1"/>
    </sheetView>
  </sheetViews>
  <sheetFormatPr defaultColWidth="9.140625" defaultRowHeight="15" x14ac:dyDescent="0.25"/>
  <cols>
    <col min="1" max="16384" width="9.140625" style="14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EC23-151E-4FC9-A5B9-DE22D2A7469B}">
  <sheetPr>
    <tabColor rgb="FF9B2743"/>
    <pageSetUpPr fitToPage="1"/>
  </sheetPr>
  <dimension ref="A1:P56"/>
  <sheetViews>
    <sheetView tabSelected="1" zoomScale="90" zoomScaleNormal="90" workbookViewId="0"/>
  </sheetViews>
  <sheetFormatPr defaultColWidth="8.85546875" defaultRowHeight="15" outlineLevelRow="1" x14ac:dyDescent="0.25"/>
  <cols>
    <col min="1" max="1" width="36.7109375" style="3" customWidth="1"/>
    <col min="2" max="16" width="15.7109375" style="3" customWidth="1"/>
    <col min="17" max="16384" width="8.85546875" style="3"/>
  </cols>
  <sheetData>
    <row r="1" spans="1:16" ht="22.5" x14ac:dyDescent="0.25">
      <c r="A1" s="65" t="s">
        <v>119</v>
      </c>
      <c r="B1" s="1"/>
    </row>
    <row r="2" spans="1:16" ht="20.25" x14ac:dyDescent="0.3">
      <c r="A2" s="63" t="str">
        <f ca="1">_xlfn.CONCAT("Budget Year ", IF(MONTH(TODAY())&gt;8,YEAR(TODAY())+2,YEAR(TODAY())+1))</f>
        <v>Budget Year 2026</v>
      </c>
      <c r="B2" s="4"/>
    </row>
    <row r="3" spans="1:16" ht="20.25" x14ac:dyDescent="0.3">
      <c r="A3" s="63"/>
      <c r="B3" s="4"/>
    </row>
    <row r="4" spans="1:16" ht="20.25" x14ac:dyDescent="0.25">
      <c r="A4" s="67" t="s">
        <v>161</v>
      </c>
      <c r="B4" s="150" t="s">
        <v>181</v>
      </c>
      <c r="C4" s="68"/>
      <c r="D4" s="68"/>
      <c r="E4" s="68"/>
    </row>
    <row r="5" spans="1:16" ht="20.25" x14ac:dyDescent="0.3">
      <c r="B5" s="4"/>
    </row>
    <row r="6" spans="1:16" ht="20.25" x14ac:dyDescent="0.3">
      <c r="A6" s="66" t="s">
        <v>133</v>
      </c>
      <c r="B6" s="4"/>
    </row>
    <row r="7" spans="1:16" ht="14.1" customHeight="1" x14ac:dyDescent="0.3">
      <c r="A7" s="78" t="s">
        <v>128</v>
      </c>
      <c r="B7" s="4"/>
    </row>
    <row r="8" spans="1:16" ht="14.1" customHeight="1" x14ac:dyDescent="0.25">
      <c r="A8" s="78"/>
      <c r="B8" s="200" t="s">
        <v>17</v>
      </c>
      <c r="C8" s="201"/>
      <c r="D8" s="200" t="s">
        <v>12</v>
      </c>
      <c r="E8" s="207"/>
      <c r="F8" s="207"/>
      <c r="G8" s="201"/>
      <c r="H8" s="200" t="s">
        <v>13</v>
      </c>
      <c r="I8" s="207"/>
      <c r="J8" s="207"/>
      <c r="K8" s="201"/>
      <c r="M8" s="200" t="s">
        <v>23</v>
      </c>
      <c r="N8" s="201"/>
      <c r="O8" s="196" t="s">
        <v>160</v>
      </c>
      <c r="P8" s="197"/>
    </row>
    <row r="9" spans="1:16" s="19" customFormat="1" ht="13.9" customHeight="1" x14ac:dyDescent="0.25">
      <c r="A9" s="17"/>
      <c r="B9" s="202"/>
      <c r="C9" s="203"/>
      <c r="D9" s="202"/>
      <c r="E9" s="208"/>
      <c r="F9" s="208"/>
      <c r="G9" s="203"/>
      <c r="H9" s="202"/>
      <c r="I9" s="208"/>
      <c r="J9" s="208"/>
      <c r="K9" s="203"/>
      <c r="L9" s="18"/>
      <c r="M9" s="202"/>
      <c r="N9" s="203"/>
      <c r="O9" s="198"/>
      <c r="P9" s="199"/>
    </row>
    <row r="10" spans="1:16" ht="25.5" x14ac:dyDescent="0.25">
      <c r="A10" s="8" t="s">
        <v>20</v>
      </c>
      <c r="B10" s="6" t="s">
        <v>15</v>
      </c>
      <c r="C10" s="7" t="s">
        <v>16</v>
      </c>
      <c r="D10" s="6" t="s">
        <v>0</v>
      </c>
      <c r="E10" s="5" t="s">
        <v>1</v>
      </c>
      <c r="F10" s="5" t="s">
        <v>2</v>
      </c>
      <c r="G10" s="7" t="s">
        <v>3</v>
      </c>
      <c r="H10" s="6" t="s">
        <v>4</v>
      </c>
      <c r="I10" s="5" t="s">
        <v>157</v>
      </c>
      <c r="J10" s="5" t="s">
        <v>5</v>
      </c>
      <c r="K10" s="7" t="s">
        <v>6</v>
      </c>
      <c r="L10" s="5" t="s">
        <v>22</v>
      </c>
      <c r="M10" s="6" t="s">
        <v>18</v>
      </c>
      <c r="N10" s="7" t="s">
        <v>19</v>
      </c>
      <c r="O10" s="6" t="s">
        <v>18</v>
      </c>
      <c r="P10" s="7" t="s">
        <v>19</v>
      </c>
    </row>
    <row r="11" spans="1:16" x14ac:dyDescent="0.25">
      <c r="A11" s="3" t="s">
        <v>7</v>
      </c>
      <c r="B11" s="27">
        <v>9987100</v>
      </c>
      <c r="C11" s="28">
        <v>10665389</v>
      </c>
      <c r="D11" s="27">
        <v>9412341</v>
      </c>
      <c r="E11" s="29">
        <v>0</v>
      </c>
      <c r="F11" s="29">
        <v>64587</v>
      </c>
      <c r="G11" s="30">
        <f>SUM(D11:F11)</f>
        <v>9476928</v>
      </c>
      <c r="H11" s="27">
        <v>7013483</v>
      </c>
      <c r="I11" s="29">
        <v>285000</v>
      </c>
      <c r="J11" s="29"/>
      <c r="K11" s="30">
        <f t="shared" ref="K11:K36" si="0">SUM(H11:J11)</f>
        <v>7298483</v>
      </c>
      <c r="L11" s="167">
        <f t="shared" ref="L11:L36" si="1">G11-K11</f>
        <v>2178445</v>
      </c>
      <c r="M11" s="31">
        <f t="shared" ref="M11:M36" si="2">B11+L11</f>
        <v>12165545</v>
      </c>
      <c r="N11" s="32">
        <f t="shared" ref="N11:N36" si="3">C11+L11</f>
        <v>12843834</v>
      </c>
      <c r="O11" s="160">
        <f>IFERROR(M11/H11,"")</f>
        <v>1.7345939243026611</v>
      </c>
      <c r="P11" s="37">
        <f>IFERROR(N11/H11,"")</f>
        <v>1.8313060714626386</v>
      </c>
    </row>
    <row r="12" spans="1:16" x14ac:dyDescent="0.25">
      <c r="A12" s="3" t="s">
        <v>8</v>
      </c>
      <c r="B12" s="20">
        <v>30000</v>
      </c>
      <c r="C12" s="21">
        <v>34125</v>
      </c>
      <c r="D12" s="20">
        <v>11186</v>
      </c>
      <c r="E12" s="22">
        <v>0</v>
      </c>
      <c r="F12" s="22">
        <v>0</v>
      </c>
      <c r="G12" s="23">
        <f t="shared" ref="G12:G36" si="4">SUM(D12:F12)</f>
        <v>11186</v>
      </c>
      <c r="H12" s="20">
        <v>4864</v>
      </c>
      <c r="I12" s="22"/>
      <c r="J12" s="22"/>
      <c r="K12" s="23">
        <f t="shared" si="0"/>
        <v>4864</v>
      </c>
      <c r="L12" s="168">
        <f t="shared" si="1"/>
        <v>6322</v>
      </c>
      <c r="M12" s="24">
        <f t="shared" si="2"/>
        <v>36322</v>
      </c>
      <c r="N12" s="25">
        <f t="shared" si="3"/>
        <v>40447</v>
      </c>
      <c r="O12" s="160">
        <f t="shared" ref="O12:O36" si="5">IFERROR(M12/H12,"")</f>
        <v>7.4675164473684212</v>
      </c>
      <c r="P12" s="37">
        <f t="shared" ref="P12:P36" si="6">IFERROR(N12/H12,"")</f>
        <v>8.3155838815789469</v>
      </c>
    </row>
    <row r="13" spans="1:16" x14ac:dyDescent="0.25">
      <c r="A13" s="3" t="s">
        <v>178</v>
      </c>
      <c r="B13" s="20">
        <v>1100000</v>
      </c>
      <c r="C13" s="21">
        <v>1342587</v>
      </c>
      <c r="D13" s="20">
        <v>356487</v>
      </c>
      <c r="E13" s="22">
        <v>300000</v>
      </c>
      <c r="F13" s="22">
        <v>0</v>
      </c>
      <c r="G13" s="23">
        <f t="shared" si="4"/>
        <v>656487</v>
      </c>
      <c r="H13" s="20">
        <v>407967</v>
      </c>
      <c r="I13" s="22">
        <v>1213506</v>
      </c>
      <c r="J13" s="22"/>
      <c r="K13" s="23">
        <f t="shared" si="0"/>
        <v>1621473</v>
      </c>
      <c r="L13" s="168">
        <f t="shared" si="1"/>
        <v>-964986</v>
      </c>
      <c r="M13" s="24">
        <f t="shared" si="2"/>
        <v>135014</v>
      </c>
      <c r="N13" s="25">
        <f t="shared" si="3"/>
        <v>377601</v>
      </c>
      <c r="O13" s="160">
        <f t="shared" si="5"/>
        <v>0.33094343415031119</v>
      </c>
      <c r="P13" s="37">
        <f t="shared" si="6"/>
        <v>0.92556750913676844</v>
      </c>
    </row>
    <row r="14" spans="1:16" x14ac:dyDescent="0.25">
      <c r="A14" s="3" t="s">
        <v>182</v>
      </c>
      <c r="B14" s="20">
        <v>512825</v>
      </c>
      <c r="C14" s="21">
        <v>482560</v>
      </c>
      <c r="D14" s="20">
        <v>184678</v>
      </c>
      <c r="E14" s="22">
        <v>0</v>
      </c>
      <c r="F14" s="22">
        <v>5000</v>
      </c>
      <c r="G14" s="23">
        <f t="shared" si="4"/>
        <v>189678</v>
      </c>
      <c r="H14" s="20">
        <v>187482</v>
      </c>
      <c r="I14" s="22"/>
      <c r="J14" s="22"/>
      <c r="K14" s="23">
        <f t="shared" si="0"/>
        <v>187482</v>
      </c>
      <c r="L14" s="168">
        <f t="shared" si="1"/>
        <v>2196</v>
      </c>
      <c r="M14" s="24">
        <f t="shared" si="2"/>
        <v>515021</v>
      </c>
      <c r="N14" s="25">
        <f t="shared" si="3"/>
        <v>484756</v>
      </c>
      <c r="O14" s="160">
        <f t="shared" si="5"/>
        <v>2.7470423827354091</v>
      </c>
      <c r="P14" s="37">
        <f t="shared" si="6"/>
        <v>2.585613552234348</v>
      </c>
    </row>
    <row r="15" spans="1:16" x14ac:dyDescent="0.25">
      <c r="A15" s="3" t="s">
        <v>9</v>
      </c>
      <c r="B15" s="20">
        <v>2715643</v>
      </c>
      <c r="C15" s="21">
        <v>3200000</v>
      </c>
      <c r="D15" s="20">
        <v>14258941</v>
      </c>
      <c r="E15" s="22">
        <v>0</v>
      </c>
      <c r="F15" s="22">
        <v>125000</v>
      </c>
      <c r="G15" s="23">
        <f t="shared" si="4"/>
        <v>14383941</v>
      </c>
      <c r="H15" s="20">
        <v>13400000</v>
      </c>
      <c r="I15" s="22">
        <v>717096</v>
      </c>
      <c r="J15" s="22"/>
      <c r="K15" s="23">
        <f t="shared" si="0"/>
        <v>14117096</v>
      </c>
      <c r="L15" s="168">
        <f t="shared" si="1"/>
        <v>266845</v>
      </c>
      <c r="M15" s="24">
        <f t="shared" si="2"/>
        <v>2982488</v>
      </c>
      <c r="N15" s="25">
        <f t="shared" si="3"/>
        <v>3466845</v>
      </c>
      <c r="O15" s="160">
        <f t="shared" si="5"/>
        <v>0.22257373134328359</v>
      </c>
      <c r="P15" s="37">
        <f t="shared" si="6"/>
        <v>0.258719776119403</v>
      </c>
    </row>
    <row r="16" spans="1:16" x14ac:dyDescent="0.25">
      <c r="A16" s="3" t="s">
        <v>10</v>
      </c>
      <c r="B16" s="20">
        <v>500000</v>
      </c>
      <c r="C16" s="21">
        <v>524886</v>
      </c>
      <c r="D16" s="20">
        <v>358641</v>
      </c>
      <c r="E16" s="22">
        <v>0</v>
      </c>
      <c r="F16" s="22">
        <v>0</v>
      </c>
      <c r="G16" s="23">
        <f t="shared" si="4"/>
        <v>358641</v>
      </c>
      <c r="H16" s="20">
        <v>29452</v>
      </c>
      <c r="I16" s="22">
        <v>300000</v>
      </c>
      <c r="J16" s="22"/>
      <c r="K16" s="23">
        <f t="shared" si="0"/>
        <v>329452</v>
      </c>
      <c r="L16" s="168">
        <f t="shared" si="1"/>
        <v>29189</v>
      </c>
      <c r="M16" s="24">
        <f t="shared" si="2"/>
        <v>529189</v>
      </c>
      <c r="N16" s="25">
        <f t="shared" si="3"/>
        <v>554075</v>
      </c>
      <c r="O16" s="160">
        <f t="shared" si="5"/>
        <v>17.967845986690207</v>
      </c>
      <c r="P16" s="37">
        <f t="shared" si="6"/>
        <v>18.812814070351759</v>
      </c>
    </row>
    <row r="17" spans="1:16" x14ac:dyDescent="0.25">
      <c r="A17" s="3" t="s">
        <v>126</v>
      </c>
      <c r="B17" s="20">
        <v>498000</v>
      </c>
      <c r="C17" s="21">
        <v>515211</v>
      </c>
      <c r="D17" s="20">
        <v>3215648</v>
      </c>
      <c r="E17" s="22">
        <v>0</v>
      </c>
      <c r="F17" s="22">
        <v>20000</v>
      </c>
      <c r="G17" s="23">
        <f t="shared" si="4"/>
        <v>3235648</v>
      </c>
      <c r="H17" s="20">
        <v>3100000</v>
      </c>
      <c r="I17" s="22"/>
      <c r="J17" s="22"/>
      <c r="K17" s="23">
        <f t="shared" si="0"/>
        <v>3100000</v>
      </c>
      <c r="L17" s="168">
        <f t="shared" si="1"/>
        <v>135648</v>
      </c>
      <c r="M17" s="24">
        <f t="shared" si="2"/>
        <v>633648</v>
      </c>
      <c r="N17" s="25">
        <f t="shared" si="3"/>
        <v>650859</v>
      </c>
      <c r="O17" s="160">
        <f t="shared" si="5"/>
        <v>0.20440258064516129</v>
      </c>
      <c r="P17" s="37">
        <f t="shared" si="6"/>
        <v>0.20995451612903226</v>
      </c>
    </row>
    <row r="18" spans="1:16" x14ac:dyDescent="0.25">
      <c r="B18" s="20"/>
      <c r="C18" s="21"/>
      <c r="D18" s="20"/>
      <c r="E18" s="22"/>
      <c r="F18" s="22"/>
      <c r="G18" s="23">
        <f t="shared" si="4"/>
        <v>0</v>
      </c>
      <c r="H18" s="20"/>
      <c r="I18" s="22"/>
      <c r="J18" s="22"/>
      <c r="K18" s="23">
        <f t="shared" si="0"/>
        <v>0</v>
      </c>
      <c r="L18" s="168">
        <f t="shared" si="1"/>
        <v>0</v>
      </c>
      <c r="M18" s="24">
        <f t="shared" si="2"/>
        <v>0</v>
      </c>
      <c r="N18" s="25">
        <f t="shared" si="3"/>
        <v>0</v>
      </c>
      <c r="O18" s="160" t="str">
        <f t="shared" si="5"/>
        <v/>
      </c>
      <c r="P18" s="37" t="str">
        <f t="shared" si="6"/>
        <v/>
      </c>
    </row>
    <row r="19" spans="1:16" x14ac:dyDescent="0.25">
      <c r="B19" s="20"/>
      <c r="C19" s="21"/>
      <c r="D19" s="20"/>
      <c r="E19" s="22"/>
      <c r="F19" s="22"/>
      <c r="G19" s="23">
        <f t="shared" si="4"/>
        <v>0</v>
      </c>
      <c r="H19" s="20"/>
      <c r="I19" s="22"/>
      <c r="J19" s="22"/>
      <c r="K19" s="23">
        <f t="shared" si="0"/>
        <v>0</v>
      </c>
      <c r="L19" s="168">
        <f t="shared" si="1"/>
        <v>0</v>
      </c>
      <c r="M19" s="24">
        <f t="shared" si="2"/>
        <v>0</v>
      </c>
      <c r="N19" s="25">
        <f t="shared" si="3"/>
        <v>0</v>
      </c>
      <c r="O19" s="160" t="str">
        <f t="shared" si="5"/>
        <v/>
      </c>
      <c r="P19" s="37" t="str">
        <f t="shared" si="6"/>
        <v/>
      </c>
    </row>
    <row r="20" spans="1:16" x14ac:dyDescent="0.25">
      <c r="B20" s="20"/>
      <c r="C20" s="21"/>
      <c r="D20" s="20"/>
      <c r="E20" s="22"/>
      <c r="F20" s="22"/>
      <c r="G20" s="23">
        <f t="shared" si="4"/>
        <v>0</v>
      </c>
      <c r="H20" s="20"/>
      <c r="I20" s="22"/>
      <c r="J20" s="22"/>
      <c r="K20" s="23">
        <f t="shared" si="0"/>
        <v>0</v>
      </c>
      <c r="L20" s="168">
        <f t="shared" si="1"/>
        <v>0</v>
      </c>
      <c r="M20" s="24">
        <f t="shared" si="2"/>
        <v>0</v>
      </c>
      <c r="N20" s="25">
        <f t="shared" si="3"/>
        <v>0</v>
      </c>
      <c r="O20" s="160" t="str">
        <f t="shared" si="5"/>
        <v/>
      </c>
      <c r="P20" s="37" t="str">
        <f t="shared" si="6"/>
        <v/>
      </c>
    </row>
    <row r="21" spans="1:16" x14ac:dyDescent="0.25">
      <c r="B21" s="20"/>
      <c r="C21" s="21"/>
      <c r="D21" s="20"/>
      <c r="E21" s="22"/>
      <c r="F21" s="22"/>
      <c r="G21" s="23">
        <f t="shared" si="4"/>
        <v>0</v>
      </c>
      <c r="H21" s="20"/>
      <c r="I21" s="22"/>
      <c r="J21" s="22"/>
      <c r="K21" s="23">
        <f t="shared" si="0"/>
        <v>0</v>
      </c>
      <c r="L21" s="168">
        <f t="shared" si="1"/>
        <v>0</v>
      </c>
      <c r="M21" s="24">
        <f t="shared" si="2"/>
        <v>0</v>
      </c>
      <c r="N21" s="25">
        <f t="shared" si="3"/>
        <v>0</v>
      </c>
      <c r="O21" s="160" t="str">
        <f t="shared" si="5"/>
        <v/>
      </c>
      <c r="P21" s="37" t="str">
        <f t="shared" si="6"/>
        <v/>
      </c>
    </row>
    <row r="22" spans="1:16" hidden="1" outlineLevel="1" x14ac:dyDescent="0.25">
      <c r="B22" s="20"/>
      <c r="C22" s="21"/>
      <c r="D22" s="20"/>
      <c r="E22" s="22"/>
      <c r="F22" s="22"/>
      <c r="G22" s="23">
        <f t="shared" si="4"/>
        <v>0</v>
      </c>
      <c r="H22" s="20"/>
      <c r="I22" s="22"/>
      <c r="J22" s="22"/>
      <c r="K22" s="23">
        <f t="shared" si="0"/>
        <v>0</v>
      </c>
      <c r="L22" s="168">
        <f t="shared" si="1"/>
        <v>0</v>
      </c>
      <c r="M22" s="24">
        <f t="shared" si="2"/>
        <v>0</v>
      </c>
      <c r="N22" s="25">
        <f t="shared" si="3"/>
        <v>0</v>
      </c>
      <c r="O22" s="160" t="str">
        <f t="shared" si="5"/>
        <v/>
      </c>
      <c r="P22" s="37" t="str">
        <f t="shared" si="6"/>
        <v/>
      </c>
    </row>
    <row r="23" spans="1:16" hidden="1" outlineLevel="1" x14ac:dyDescent="0.25">
      <c r="B23" s="20"/>
      <c r="C23" s="21"/>
      <c r="D23" s="20"/>
      <c r="E23" s="22"/>
      <c r="F23" s="22"/>
      <c r="G23" s="23">
        <f t="shared" si="4"/>
        <v>0</v>
      </c>
      <c r="H23" s="20"/>
      <c r="I23" s="22"/>
      <c r="J23" s="22"/>
      <c r="K23" s="23">
        <f t="shared" si="0"/>
        <v>0</v>
      </c>
      <c r="L23" s="168">
        <f t="shared" si="1"/>
        <v>0</v>
      </c>
      <c r="M23" s="24">
        <f t="shared" si="2"/>
        <v>0</v>
      </c>
      <c r="N23" s="25">
        <f t="shared" si="3"/>
        <v>0</v>
      </c>
      <c r="O23" s="160" t="str">
        <f t="shared" si="5"/>
        <v/>
      </c>
      <c r="P23" s="37" t="str">
        <f t="shared" si="6"/>
        <v/>
      </c>
    </row>
    <row r="24" spans="1:16" hidden="1" outlineLevel="1" x14ac:dyDescent="0.25">
      <c r="B24" s="20"/>
      <c r="C24" s="21"/>
      <c r="D24" s="20"/>
      <c r="E24" s="22"/>
      <c r="F24" s="22"/>
      <c r="G24" s="23">
        <f t="shared" si="4"/>
        <v>0</v>
      </c>
      <c r="H24" s="20"/>
      <c r="I24" s="22"/>
      <c r="J24" s="22"/>
      <c r="K24" s="23">
        <f t="shared" si="0"/>
        <v>0</v>
      </c>
      <c r="L24" s="168">
        <f t="shared" si="1"/>
        <v>0</v>
      </c>
      <c r="M24" s="24">
        <f t="shared" si="2"/>
        <v>0</v>
      </c>
      <c r="N24" s="25">
        <f t="shared" si="3"/>
        <v>0</v>
      </c>
      <c r="O24" s="160" t="str">
        <f t="shared" si="5"/>
        <v/>
      </c>
      <c r="P24" s="37" t="str">
        <f t="shared" si="6"/>
        <v/>
      </c>
    </row>
    <row r="25" spans="1:16" hidden="1" outlineLevel="1" x14ac:dyDescent="0.25">
      <c r="B25" s="20"/>
      <c r="C25" s="21"/>
      <c r="D25" s="20"/>
      <c r="E25" s="22"/>
      <c r="F25" s="22"/>
      <c r="G25" s="23">
        <f t="shared" si="4"/>
        <v>0</v>
      </c>
      <c r="H25" s="20"/>
      <c r="I25" s="22"/>
      <c r="J25" s="22"/>
      <c r="K25" s="23">
        <f t="shared" si="0"/>
        <v>0</v>
      </c>
      <c r="L25" s="168">
        <f t="shared" si="1"/>
        <v>0</v>
      </c>
      <c r="M25" s="24">
        <f t="shared" si="2"/>
        <v>0</v>
      </c>
      <c r="N25" s="25">
        <f t="shared" si="3"/>
        <v>0</v>
      </c>
      <c r="O25" s="160" t="str">
        <f t="shared" si="5"/>
        <v/>
      </c>
      <c r="P25" s="37" t="str">
        <f t="shared" si="6"/>
        <v/>
      </c>
    </row>
    <row r="26" spans="1:16" hidden="1" outlineLevel="1" x14ac:dyDescent="0.25">
      <c r="B26" s="20"/>
      <c r="C26" s="21"/>
      <c r="D26" s="20"/>
      <c r="E26" s="22"/>
      <c r="F26" s="22"/>
      <c r="G26" s="23">
        <f t="shared" si="4"/>
        <v>0</v>
      </c>
      <c r="H26" s="20"/>
      <c r="I26" s="22"/>
      <c r="J26" s="22"/>
      <c r="K26" s="23">
        <f t="shared" si="0"/>
        <v>0</v>
      </c>
      <c r="L26" s="168">
        <f t="shared" si="1"/>
        <v>0</v>
      </c>
      <c r="M26" s="24">
        <f t="shared" si="2"/>
        <v>0</v>
      </c>
      <c r="N26" s="25">
        <f t="shared" si="3"/>
        <v>0</v>
      </c>
      <c r="O26" s="160" t="str">
        <f t="shared" si="5"/>
        <v/>
      </c>
      <c r="P26" s="37" t="str">
        <f t="shared" si="6"/>
        <v/>
      </c>
    </row>
    <row r="27" spans="1:16" hidden="1" outlineLevel="1" x14ac:dyDescent="0.25">
      <c r="B27" s="20"/>
      <c r="C27" s="21"/>
      <c r="D27" s="20"/>
      <c r="E27" s="22"/>
      <c r="F27" s="22"/>
      <c r="G27" s="23">
        <f t="shared" si="4"/>
        <v>0</v>
      </c>
      <c r="H27" s="20"/>
      <c r="I27" s="22"/>
      <c r="J27" s="22"/>
      <c r="K27" s="23">
        <f t="shared" si="0"/>
        <v>0</v>
      </c>
      <c r="L27" s="168">
        <f t="shared" si="1"/>
        <v>0</v>
      </c>
      <c r="M27" s="24">
        <f t="shared" si="2"/>
        <v>0</v>
      </c>
      <c r="N27" s="25">
        <f t="shared" si="3"/>
        <v>0</v>
      </c>
      <c r="O27" s="160" t="str">
        <f t="shared" si="5"/>
        <v/>
      </c>
      <c r="P27" s="37" t="str">
        <f t="shared" si="6"/>
        <v/>
      </c>
    </row>
    <row r="28" spans="1:16" hidden="1" outlineLevel="1" x14ac:dyDescent="0.25">
      <c r="B28" s="20"/>
      <c r="C28" s="21"/>
      <c r="D28" s="20"/>
      <c r="E28" s="22"/>
      <c r="F28" s="22"/>
      <c r="G28" s="23">
        <f t="shared" si="4"/>
        <v>0</v>
      </c>
      <c r="H28" s="20"/>
      <c r="I28" s="22"/>
      <c r="J28" s="22"/>
      <c r="K28" s="23">
        <f t="shared" si="0"/>
        <v>0</v>
      </c>
      <c r="L28" s="168">
        <f t="shared" si="1"/>
        <v>0</v>
      </c>
      <c r="M28" s="24">
        <f t="shared" si="2"/>
        <v>0</v>
      </c>
      <c r="N28" s="25">
        <f t="shared" si="3"/>
        <v>0</v>
      </c>
      <c r="O28" s="160" t="str">
        <f t="shared" si="5"/>
        <v/>
      </c>
      <c r="P28" s="37" t="str">
        <f t="shared" si="6"/>
        <v/>
      </c>
    </row>
    <row r="29" spans="1:16" hidden="1" outlineLevel="1" x14ac:dyDescent="0.25">
      <c r="B29" s="20"/>
      <c r="C29" s="21"/>
      <c r="D29" s="20"/>
      <c r="E29" s="22"/>
      <c r="F29" s="22"/>
      <c r="G29" s="23">
        <f t="shared" si="4"/>
        <v>0</v>
      </c>
      <c r="H29" s="20"/>
      <c r="I29" s="22"/>
      <c r="J29" s="22"/>
      <c r="K29" s="23">
        <f t="shared" si="0"/>
        <v>0</v>
      </c>
      <c r="L29" s="168">
        <f t="shared" si="1"/>
        <v>0</v>
      </c>
      <c r="M29" s="24">
        <f t="shared" si="2"/>
        <v>0</v>
      </c>
      <c r="N29" s="25">
        <f t="shared" si="3"/>
        <v>0</v>
      </c>
      <c r="O29" s="160" t="str">
        <f t="shared" si="5"/>
        <v/>
      </c>
      <c r="P29" s="37" t="str">
        <f t="shared" si="6"/>
        <v/>
      </c>
    </row>
    <row r="30" spans="1:16" hidden="1" outlineLevel="1" x14ac:dyDescent="0.25">
      <c r="B30" s="20"/>
      <c r="C30" s="21"/>
      <c r="D30" s="20"/>
      <c r="E30" s="22"/>
      <c r="F30" s="22"/>
      <c r="G30" s="23">
        <f t="shared" si="4"/>
        <v>0</v>
      </c>
      <c r="H30" s="20"/>
      <c r="I30" s="22"/>
      <c r="J30" s="22"/>
      <c r="K30" s="23">
        <f t="shared" si="0"/>
        <v>0</v>
      </c>
      <c r="L30" s="168">
        <f t="shared" si="1"/>
        <v>0</v>
      </c>
      <c r="M30" s="24">
        <f t="shared" si="2"/>
        <v>0</v>
      </c>
      <c r="N30" s="25">
        <f t="shared" si="3"/>
        <v>0</v>
      </c>
      <c r="O30" s="160" t="str">
        <f t="shared" si="5"/>
        <v/>
      </c>
      <c r="P30" s="37" t="str">
        <f t="shared" si="6"/>
        <v/>
      </c>
    </row>
    <row r="31" spans="1:16" hidden="1" outlineLevel="1" x14ac:dyDescent="0.25">
      <c r="B31" s="20"/>
      <c r="C31" s="21"/>
      <c r="D31" s="20"/>
      <c r="E31" s="22"/>
      <c r="F31" s="22"/>
      <c r="G31" s="23">
        <f t="shared" si="4"/>
        <v>0</v>
      </c>
      <c r="H31" s="20"/>
      <c r="I31" s="22"/>
      <c r="J31" s="22"/>
      <c r="K31" s="23">
        <f t="shared" si="0"/>
        <v>0</v>
      </c>
      <c r="L31" s="168">
        <f t="shared" si="1"/>
        <v>0</v>
      </c>
      <c r="M31" s="24">
        <f t="shared" si="2"/>
        <v>0</v>
      </c>
      <c r="N31" s="25">
        <f t="shared" si="3"/>
        <v>0</v>
      </c>
      <c r="O31" s="160" t="str">
        <f t="shared" si="5"/>
        <v/>
      </c>
      <c r="P31" s="37" t="str">
        <f t="shared" si="6"/>
        <v/>
      </c>
    </row>
    <row r="32" spans="1:16" hidden="1" outlineLevel="1" x14ac:dyDescent="0.25">
      <c r="B32" s="20"/>
      <c r="C32" s="21"/>
      <c r="D32" s="20"/>
      <c r="E32" s="22"/>
      <c r="F32" s="22"/>
      <c r="G32" s="23">
        <f t="shared" si="4"/>
        <v>0</v>
      </c>
      <c r="H32" s="20"/>
      <c r="I32" s="22"/>
      <c r="J32" s="22"/>
      <c r="K32" s="23">
        <f t="shared" si="0"/>
        <v>0</v>
      </c>
      <c r="L32" s="168">
        <f t="shared" si="1"/>
        <v>0</v>
      </c>
      <c r="M32" s="24">
        <f t="shared" si="2"/>
        <v>0</v>
      </c>
      <c r="N32" s="25">
        <f t="shared" si="3"/>
        <v>0</v>
      </c>
      <c r="O32" s="160" t="str">
        <f t="shared" si="5"/>
        <v/>
      </c>
      <c r="P32" s="37" t="str">
        <f t="shared" si="6"/>
        <v/>
      </c>
    </row>
    <row r="33" spans="1:16" hidden="1" outlineLevel="1" x14ac:dyDescent="0.25">
      <c r="B33" s="20"/>
      <c r="C33" s="21"/>
      <c r="D33" s="20"/>
      <c r="E33" s="22"/>
      <c r="F33" s="22"/>
      <c r="G33" s="23">
        <f t="shared" si="4"/>
        <v>0</v>
      </c>
      <c r="H33" s="20"/>
      <c r="I33" s="22"/>
      <c r="J33" s="22"/>
      <c r="K33" s="23">
        <f t="shared" si="0"/>
        <v>0</v>
      </c>
      <c r="L33" s="168">
        <f t="shared" si="1"/>
        <v>0</v>
      </c>
      <c r="M33" s="24">
        <f t="shared" si="2"/>
        <v>0</v>
      </c>
      <c r="N33" s="25">
        <f t="shared" si="3"/>
        <v>0</v>
      </c>
      <c r="O33" s="160" t="str">
        <f t="shared" si="5"/>
        <v/>
      </c>
      <c r="P33" s="37" t="str">
        <f t="shared" si="6"/>
        <v/>
      </c>
    </row>
    <row r="34" spans="1:16" hidden="1" outlineLevel="1" x14ac:dyDescent="0.25">
      <c r="B34" s="20"/>
      <c r="C34" s="21"/>
      <c r="D34" s="20"/>
      <c r="E34" s="22"/>
      <c r="F34" s="22"/>
      <c r="G34" s="23">
        <f t="shared" si="4"/>
        <v>0</v>
      </c>
      <c r="H34" s="20"/>
      <c r="I34" s="22"/>
      <c r="J34" s="22"/>
      <c r="K34" s="23">
        <f t="shared" si="0"/>
        <v>0</v>
      </c>
      <c r="L34" s="168">
        <f t="shared" si="1"/>
        <v>0</v>
      </c>
      <c r="M34" s="24">
        <f t="shared" si="2"/>
        <v>0</v>
      </c>
      <c r="N34" s="25">
        <f t="shared" si="3"/>
        <v>0</v>
      </c>
      <c r="O34" s="160" t="str">
        <f t="shared" si="5"/>
        <v/>
      </c>
      <c r="P34" s="37" t="str">
        <f t="shared" si="6"/>
        <v/>
      </c>
    </row>
    <row r="35" spans="1:16" hidden="1" outlineLevel="1" x14ac:dyDescent="0.25">
      <c r="B35" s="20"/>
      <c r="C35" s="21"/>
      <c r="D35" s="20"/>
      <c r="E35" s="22"/>
      <c r="F35" s="22"/>
      <c r="G35" s="23">
        <f t="shared" si="4"/>
        <v>0</v>
      </c>
      <c r="H35" s="20"/>
      <c r="I35" s="22"/>
      <c r="J35" s="22"/>
      <c r="K35" s="23">
        <f t="shared" si="0"/>
        <v>0</v>
      </c>
      <c r="L35" s="168">
        <f t="shared" si="1"/>
        <v>0</v>
      </c>
      <c r="M35" s="24">
        <f t="shared" si="2"/>
        <v>0</v>
      </c>
      <c r="N35" s="25">
        <f t="shared" si="3"/>
        <v>0</v>
      </c>
      <c r="O35" s="160" t="str">
        <f t="shared" si="5"/>
        <v/>
      </c>
      <c r="P35" s="37" t="str">
        <f t="shared" si="6"/>
        <v/>
      </c>
    </row>
    <row r="36" spans="1:16" hidden="1" outlineLevel="1" x14ac:dyDescent="0.25">
      <c r="B36" s="20"/>
      <c r="C36" s="21"/>
      <c r="D36" s="20"/>
      <c r="E36" s="22"/>
      <c r="F36" s="21"/>
      <c r="G36" s="23">
        <f t="shared" si="4"/>
        <v>0</v>
      </c>
      <c r="H36" s="20"/>
      <c r="I36" s="22"/>
      <c r="J36" s="21"/>
      <c r="K36" s="23">
        <f t="shared" si="0"/>
        <v>0</v>
      </c>
      <c r="L36" s="168">
        <f t="shared" si="1"/>
        <v>0</v>
      </c>
      <c r="M36" s="24">
        <f t="shared" si="2"/>
        <v>0</v>
      </c>
      <c r="N36" s="25">
        <f t="shared" si="3"/>
        <v>0</v>
      </c>
      <c r="O36" s="161" t="str">
        <f t="shared" si="5"/>
        <v/>
      </c>
      <c r="P36" s="162" t="str">
        <f t="shared" si="6"/>
        <v/>
      </c>
    </row>
    <row r="37" spans="1:16" collapsed="1" x14ac:dyDescent="0.25">
      <c r="A37" s="15" t="s">
        <v>14</v>
      </c>
      <c r="B37" s="33">
        <f>SUM(B11:B36)</f>
        <v>15343568</v>
      </c>
      <c r="C37" s="34">
        <f t="shared" ref="C37:H37" si="7">SUM(C11:C36)</f>
        <v>16764758</v>
      </c>
      <c r="D37" s="33">
        <f t="shared" si="7"/>
        <v>27797922</v>
      </c>
      <c r="E37" s="35">
        <f t="shared" si="7"/>
        <v>300000</v>
      </c>
      <c r="F37" s="35">
        <f t="shared" si="7"/>
        <v>214587</v>
      </c>
      <c r="G37" s="34">
        <f t="shared" si="7"/>
        <v>28312509</v>
      </c>
      <c r="H37" s="33">
        <f t="shared" si="7"/>
        <v>24143248</v>
      </c>
      <c r="I37" s="35">
        <f t="shared" ref="I37:N37" si="8">SUM(I11:I36)</f>
        <v>2515602</v>
      </c>
      <c r="J37" s="35">
        <f t="shared" si="8"/>
        <v>0</v>
      </c>
      <c r="K37" s="34">
        <f t="shared" si="8"/>
        <v>26658850</v>
      </c>
      <c r="L37" s="35">
        <f t="shared" si="8"/>
        <v>1653659</v>
      </c>
      <c r="M37" s="33">
        <f t="shared" si="8"/>
        <v>16997227</v>
      </c>
      <c r="N37" s="34">
        <f t="shared" si="8"/>
        <v>18418417</v>
      </c>
      <c r="O37" s="9"/>
      <c r="P37" s="9"/>
    </row>
    <row r="38" spans="1:16" x14ac:dyDescent="0.25">
      <c r="A38" s="69"/>
    </row>
    <row r="40" spans="1:16" ht="18.75" x14ac:dyDescent="0.3">
      <c r="A40" s="66" t="s">
        <v>134</v>
      </c>
    </row>
    <row r="41" spans="1:16" ht="14.1" customHeight="1" x14ac:dyDescent="0.25">
      <c r="A41" s="78" t="s">
        <v>127</v>
      </c>
    </row>
    <row r="42" spans="1:16" s="19" customFormat="1" x14ac:dyDescent="0.25">
      <c r="B42" s="163"/>
      <c r="C42" s="204" t="s">
        <v>12</v>
      </c>
      <c r="D42" s="205"/>
      <c r="E42" s="205"/>
      <c r="F42" s="206"/>
      <c r="G42" s="204" t="s">
        <v>13</v>
      </c>
      <c r="H42" s="205"/>
      <c r="I42" s="205"/>
      <c r="J42" s="205"/>
      <c r="K42" s="205"/>
      <c r="L42" s="206"/>
      <c r="N42" s="163"/>
      <c r="O42" s="163"/>
      <c r="P42" s="163"/>
    </row>
    <row r="43" spans="1:16" ht="76.5" x14ac:dyDescent="0.25">
      <c r="A43" s="10" t="s">
        <v>21</v>
      </c>
      <c r="B43" s="12" t="s">
        <v>154</v>
      </c>
      <c r="C43" s="12" t="s">
        <v>0</v>
      </c>
      <c r="D43" s="11" t="s">
        <v>158</v>
      </c>
      <c r="E43" s="11" t="s">
        <v>2</v>
      </c>
      <c r="F43" s="13" t="s">
        <v>3</v>
      </c>
      <c r="G43" s="12" t="s">
        <v>156</v>
      </c>
      <c r="H43" s="11" t="s">
        <v>157</v>
      </c>
      <c r="I43" s="11" t="s">
        <v>172</v>
      </c>
      <c r="J43" s="11" t="s">
        <v>5</v>
      </c>
      <c r="K43" s="11" t="s">
        <v>159</v>
      </c>
      <c r="L43" s="13" t="s">
        <v>176</v>
      </c>
      <c r="M43" s="14" t="s">
        <v>22</v>
      </c>
      <c r="N43" s="14" t="s">
        <v>155</v>
      </c>
      <c r="O43" s="14" t="s">
        <v>173</v>
      </c>
    </row>
    <row r="44" spans="1:16" x14ac:dyDescent="0.25">
      <c r="A44" s="3" t="s">
        <v>11</v>
      </c>
      <c r="B44" s="194">
        <v>14521871</v>
      </c>
      <c r="C44" s="27">
        <v>13041141</v>
      </c>
      <c r="D44" s="29">
        <v>800000</v>
      </c>
      <c r="E44" s="29">
        <v>0</v>
      </c>
      <c r="F44" s="38">
        <f t="shared" ref="F44:F55" si="9">SUM(C44:E44)</f>
        <v>13841141</v>
      </c>
      <c r="G44" s="27">
        <v>12354173</v>
      </c>
      <c r="H44" s="29">
        <v>712000</v>
      </c>
      <c r="I44" s="29">
        <v>270000</v>
      </c>
      <c r="J44" s="29"/>
      <c r="K44" s="29">
        <v>381541</v>
      </c>
      <c r="L44" s="38">
        <f>G44+H44+I44+J44</f>
        <v>13336173</v>
      </c>
      <c r="M44" s="30">
        <f t="shared" ref="M44:M55" si="10">F44-L44</f>
        <v>504968</v>
      </c>
      <c r="N44" s="30">
        <f t="shared" ref="N44:N55" si="11">B44+M44</f>
        <v>15026839</v>
      </c>
      <c r="O44" s="164">
        <f>IFERROR(N44/(G44+I44+K44),"")</f>
        <v>1.1554028483172858</v>
      </c>
    </row>
    <row r="45" spans="1:16" x14ac:dyDescent="0.25">
      <c r="A45" s="3" t="s">
        <v>135</v>
      </c>
      <c r="B45" s="195">
        <v>19587143</v>
      </c>
      <c r="C45" s="20">
        <v>13200158</v>
      </c>
      <c r="D45" s="22">
        <v>983100</v>
      </c>
      <c r="E45" s="22">
        <v>0</v>
      </c>
      <c r="F45" s="23">
        <f t="shared" si="9"/>
        <v>14183258</v>
      </c>
      <c r="G45" s="20">
        <v>12879412</v>
      </c>
      <c r="H45" s="22">
        <v>600000</v>
      </c>
      <c r="I45" s="22">
        <v>0</v>
      </c>
      <c r="J45" s="22"/>
      <c r="K45" s="22">
        <v>297513</v>
      </c>
      <c r="L45" s="23">
        <f t="shared" ref="L45:L55" si="12">G45+H45+I45+J45</f>
        <v>13479412</v>
      </c>
      <c r="M45" s="23">
        <f t="shared" si="10"/>
        <v>703846</v>
      </c>
      <c r="N45" s="23">
        <f t="shared" si="11"/>
        <v>20290989</v>
      </c>
      <c r="O45" s="164">
        <f t="shared" ref="O45:O55" si="13">IFERROR(N45/(G45+I45+K45),"")</f>
        <v>1.5398880239509598</v>
      </c>
    </row>
    <row r="46" spans="1:16" x14ac:dyDescent="0.25">
      <c r="A46" s="3" t="s">
        <v>136</v>
      </c>
      <c r="B46" s="195">
        <v>17900400</v>
      </c>
      <c r="C46" s="20">
        <v>10240600</v>
      </c>
      <c r="D46" s="22">
        <v>0</v>
      </c>
      <c r="E46" s="22">
        <v>0</v>
      </c>
      <c r="F46" s="23">
        <f t="shared" si="9"/>
        <v>10240600</v>
      </c>
      <c r="G46" s="20">
        <v>9092156</v>
      </c>
      <c r="H46" s="22">
        <v>0</v>
      </c>
      <c r="I46" s="22">
        <v>217000</v>
      </c>
      <c r="J46" s="22">
        <v>375192</v>
      </c>
      <c r="K46" s="22">
        <v>300000</v>
      </c>
      <c r="L46" s="23">
        <f t="shared" si="12"/>
        <v>9684348</v>
      </c>
      <c r="M46" s="23">
        <f t="shared" si="10"/>
        <v>556252</v>
      </c>
      <c r="N46" s="23">
        <f t="shared" si="11"/>
        <v>18456652</v>
      </c>
      <c r="O46" s="164">
        <f t="shared" si="13"/>
        <v>1.9207360146926535</v>
      </c>
    </row>
    <row r="47" spans="1:16" x14ac:dyDescent="0.25">
      <c r="B47" s="165"/>
      <c r="C47" s="20"/>
      <c r="D47" s="22"/>
      <c r="E47" s="22"/>
      <c r="F47" s="23">
        <f t="shared" si="9"/>
        <v>0</v>
      </c>
      <c r="G47" s="20"/>
      <c r="H47" s="22"/>
      <c r="I47" s="22"/>
      <c r="J47" s="22"/>
      <c r="K47" s="22"/>
      <c r="L47" s="23">
        <f t="shared" si="12"/>
        <v>0</v>
      </c>
      <c r="M47" s="23">
        <f t="shared" si="10"/>
        <v>0</v>
      </c>
      <c r="N47" s="23">
        <f t="shared" si="11"/>
        <v>0</v>
      </c>
      <c r="O47" s="164" t="str">
        <f t="shared" si="13"/>
        <v/>
      </c>
    </row>
    <row r="48" spans="1:16" x14ac:dyDescent="0.25">
      <c r="B48" s="165"/>
      <c r="C48" s="20"/>
      <c r="D48" s="22"/>
      <c r="E48" s="22"/>
      <c r="F48" s="23">
        <f t="shared" si="9"/>
        <v>0</v>
      </c>
      <c r="G48" s="20"/>
      <c r="H48" s="22"/>
      <c r="I48" s="22"/>
      <c r="J48" s="22"/>
      <c r="K48" s="22"/>
      <c r="L48" s="23">
        <f t="shared" si="12"/>
        <v>0</v>
      </c>
      <c r="M48" s="23">
        <f t="shared" si="10"/>
        <v>0</v>
      </c>
      <c r="N48" s="23">
        <f t="shared" si="11"/>
        <v>0</v>
      </c>
      <c r="O48" s="164" t="str">
        <f t="shared" si="13"/>
        <v/>
      </c>
    </row>
    <row r="49" spans="1:15" x14ac:dyDescent="0.25">
      <c r="B49" s="165"/>
      <c r="C49" s="20"/>
      <c r="D49" s="22"/>
      <c r="E49" s="22"/>
      <c r="F49" s="23">
        <f t="shared" si="9"/>
        <v>0</v>
      </c>
      <c r="G49" s="20"/>
      <c r="H49" s="22"/>
      <c r="I49" s="22"/>
      <c r="J49" s="22"/>
      <c r="K49" s="22"/>
      <c r="L49" s="23">
        <f t="shared" si="12"/>
        <v>0</v>
      </c>
      <c r="M49" s="23">
        <f t="shared" si="10"/>
        <v>0</v>
      </c>
      <c r="N49" s="23">
        <f t="shared" si="11"/>
        <v>0</v>
      </c>
      <c r="O49" s="164" t="str">
        <f t="shared" si="13"/>
        <v/>
      </c>
    </row>
    <row r="50" spans="1:15" x14ac:dyDescent="0.25">
      <c r="B50" s="165"/>
      <c r="C50" s="20"/>
      <c r="D50" s="22"/>
      <c r="E50" s="22"/>
      <c r="F50" s="23">
        <f t="shared" si="9"/>
        <v>0</v>
      </c>
      <c r="G50" s="20"/>
      <c r="H50" s="22"/>
      <c r="I50" s="22"/>
      <c r="J50" s="22"/>
      <c r="K50" s="22"/>
      <c r="L50" s="23">
        <f t="shared" si="12"/>
        <v>0</v>
      </c>
      <c r="M50" s="23">
        <f t="shared" si="10"/>
        <v>0</v>
      </c>
      <c r="N50" s="23">
        <f t="shared" si="11"/>
        <v>0</v>
      </c>
      <c r="O50" s="164" t="str">
        <f t="shared" si="13"/>
        <v/>
      </c>
    </row>
    <row r="51" spans="1:15" x14ac:dyDescent="0.25">
      <c r="B51" s="165"/>
      <c r="C51" s="20"/>
      <c r="D51" s="22"/>
      <c r="E51" s="22"/>
      <c r="F51" s="23">
        <f t="shared" si="9"/>
        <v>0</v>
      </c>
      <c r="G51" s="20"/>
      <c r="H51" s="22"/>
      <c r="I51" s="22"/>
      <c r="J51" s="22"/>
      <c r="K51" s="22"/>
      <c r="L51" s="23">
        <f t="shared" si="12"/>
        <v>0</v>
      </c>
      <c r="M51" s="23">
        <f t="shared" si="10"/>
        <v>0</v>
      </c>
      <c r="N51" s="23">
        <f t="shared" si="11"/>
        <v>0</v>
      </c>
      <c r="O51" s="164" t="str">
        <f t="shared" si="13"/>
        <v/>
      </c>
    </row>
    <row r="52" spans="1:15" hidden="1" outlineLevel="1" x14ac:dyDescent="0.25">
      <c r="B52" s="165"/>
      <c r="C52" s="20"/>
      <c r="E52" s="22"/>
      <c r="F52" s="23">
        <f t="shared" si="9"/>
        <v>0</v>
      </c>
      <c r="G52" s="20"/>
      <c r="K52" s="22"/>
      <c r="L52" s="23">
        <f t="shared" si="12"/>
        <v>0</v>
      </c>
      <c r="M52" s="23">
        <f t="shared" si="10"/>
        <v>0</v>
      </c>
      <c r="N52" s="23">
        <f t="shared" si="11"/>
        <v>0</v>
      </c>
      <c r="O52" s="164" t="str">
        <f t="shared" si="13"/>
        <v/>
      </c>
    </row>
    <row r="53" spans="1:15" hidden="1" outlineLevel="1" x14ac:dyDescent="0.25">
      <c r="B53" s="165"/>
      <c r="C53" s="20"/>
      <c r="E53" s="22"/>
      <c r="F53" s="23">
        <f t="shared" si="9"/>
        <v>0</v>
      </c>
      <c r="G53" s="20"/>
      <c r="K53" s="22"/>
      <c r="L53" s="23">
        <f t="shared" si="12"/>
        <v>0</v>
      </c>
      <c r="M53" s="23">
        <f t="shared" si="10"/>
        <v>0</v>
      </c>
      <c r="N53" s="23">
        <f t="shared" si="11"/>
        <v>0</v>
      </c>
      <c r="O53" s="164" t="str">
        <f t="shared" si="13"/>
        <v/>
      </c>
    </row>
    <row r="54" spans="1:15" hidden="1" outlineLevel="1" x14ac:dyDescent="0.25">
      <c r="B54" s="165"/>
      <c r="C54" s="20"/>
      <c r="E54" s="22"/>
      <c r="F54" s="23">
        <f t="shared" si="9"/>
        <v>0</v>
      </c>
      <c r="G54" s="20"/>
      <c r="K54" s="22"/>
      <c r="L54" s="23">
        <f t="shared" si="12"/>
        <v>0</v>
      </c>
      <c r="M54" s="23">
        <f t="shared" si="10"/>
        <v>0</v>
      </c>
      <c r="N54" s="23">
        <f t="shared" si="11"/>
        <v>0</v>
      </c>
      <c r="O54" s="164" t="str">
        <f t="shared" si="13"/>
        <v/>
      </c>
    </row>
    <row r="55" spans="1:15" hidden="1" outlineLevel="1" x14ac:dyDescent="0.25">
      <c r="B55" s="165"/>
      <c r="C55" s="20"/>
      <c r="E55" s="22"/>
      <c r="F55" s="26">
        <f t="shared" si="9"/>
        <v>0</v>
      </c>
      <c r="G55" s="20"/>
      <c r="K55" s="22"/>
      <c r="L55" s="26">
        <f t="shared" si="12"/>
        <v>0</v>
      </c>
      <c r="M55" s="23">
        <f t="shared" si="10"/>
        <v>0</v>
      </c>
      <c r="N55" s="23">
        <f t="shared" si="11"/>
        <v>0</v>
      </c>
      <c r="O55" s="164" t="str">
        <f t="shared" si="13"/>
        <v/>
      </c>
    </row>
    <row r="56" spans="1:15" collapsed="1" x14ac:dyDescent="0.25">
      <c r="A56" s="15" t="s">
        <v>14</v>
      </c>
      <c r="B56" s="33">
        <f>SUM(B44:B55)</f>
        <v>52009414</v>
      </c>
      <c r="C56" s="33">
        <f t="shared" ref="C56" si="14">SUM(C44:C55)</f>
        <v>36481899</v>
      </c>
      <c r="D56" s="35">
        <f>SUM(D44:D55)</f>
        <v>1783100</v>
      </c>
      <c r="E56" s="35">
        <f>SUM(E44:E55)</f>
        <v>0</v>
      </c>
      <c r="F56" s="34">
        <f>SUM(F44:F55)</f>
        <v>38264999</v>
      </c>
      <c r="G56" s="33">
        <f>SUM(G44:G55)</f>
        <v>34325741</v>
      </c>
      <c r="H56" s="35">
        <f t="shared" ref="H56:J56" si="15">SUM(H44:H55)</f>
        <v>1312000</v>
      </c>
      <c r="I56" s="35">
        <f t="shared" si="15"/>
        <v>487000</v>
      </c>
      <c r="J56" s="35">
        <f t="shared" si="15"/>
        <v>375192</v>
      </c>
      <c r="K56" s="35">
        <f>SUM(K44:K55)</f>
        <v>979054</v>
      </c>
      <c r="L56" s="34">
        <f>SUM(L44:L55)</f>
        <v>36499933</v>
      </c>
      <c r="M56" s="36">
        <f>SUM(M44:M55)</f>
        <v>1765066</v>
      </c>
      <c r="N56" s="36">
        <f>SUM(N44:N55)</f>
        <v>53774480</v>
      </c>
      <c r="O56" s="193"/>
    </row>
  </sheetData>
  <sheetProtection formatCells="0" formatColumns="0" formatRows="0" insertColumns="0" insertRows="0" insertHyperlinks="0" deleteColumns="0" deleteRows="0" sort="0" autoFilter="0" pivotTables="0"/>
  <dataConsolidate/>
  <mergeCells count="7">
    <mergeCell ref="O8:P9"/>
    <mergeCell ref="B8:C9"/>
    <mergeCell ref="G42:L42"/>
    <mergeCell ref="C42:F42"/>
    <mergeCell ref="D8:G9"/>
    <mergeCell ref="H8:K9"/>
    <mergeCell ref="M8:N9"/>
  </mergeCells>
  <conditionalFormatting sqref="O11:O36">
    <cfRule type="expression" dxfId="32" priority="7">
      <formula>O11&lt;0.167</formula>
    </cfRule>
    <cfRule type="expression" dxfId="31" priority="8">
      <formula>O11&gt;=0.167</formula>
    </cfRule>
  </conditionalFormatting>
  <conditionalFormatting sqref="O44:O55">
    <cfRule type="expression" dxfId="30" priority="1">
      <formula>O44&gt;0.15</formula>
    </cfRule>
    <cfRule type="expression" dxfId="29" priority="2">
      <formula>AND(O44&gt;0.08,O44&lt;=0.15)</formula>
    </cfRule>
    <cfRule type="expression" dxfId="28" priority="3">
      <formula>O44&lt;=0.08</formula>
    </cfRule>
  </conditionalFormatting>
  <conditionalFormatting sqref="P11:P36">
    <cfRule type="expression" dxfId="27" priority="4">
      <formula>P11&lt;=0.08</formula>
    </cfRule>
    <cfRule type="expression" dxfId="26" priority="5">
      <formula>AND(P11&gt;0.08,P11&lt;=0.15)</formula>
    </cfRule>
    <cfRule type="expression" dxfId="25" priority="6">
      <formula>P11&gt;0.15</formula>
    </cfRule>
  </conditionalFormatting>
  <pageMargins left="0" right="0" top="0.25" bottom="0.25" header="0.3" footer="0.3"/>
  <pageSetup scale="52" fitToHeight="0" orientation="landscape" verticalDpi="12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from>
                    <xdr:col>2</xdr:col>
                    <xdr:colOff>0</xdr:colOff>
                    <xdr:row>12</xdr:row>
                    <xdr:rowOff>76200</xdr:rowOff>
                  </from>
                  <to>
                    <xdr:col>3</xdr:col>
                    <xdr:colOff>400050</xdr:colOff>
                    <xdr:row>18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F97C-3E1B-4608-A6B9-75DD9DBBED60}">
  <sheetPr codeName="Sheet3">
    <tabColor rgb="FF9B2743"/>
    <pageSetUpPr fitToPage="1"/>
  </sheetPr>
  <dimension ref="A1:AT132"/>
  <sheetViews>
    <sheetView zoomScaleNormal="100" workbookViewId="0"/>
  </sheetViews>
  <sheetFormatPr defaultColWidth="8.85546875" defaultRowHeight="15" outlineLevelRow="1" x14ac:dyDescent="0.25"/>
  <cols>
    <col min="1" max="1" width="36.7109375" style="3" customWidth="1"/>
    <col min="2" max="2" width="15.7109375" style="3" customWidth="1"/>
    <col min="3" max="3" width="36.7109375" style="3" customWidth="1"/>
    <col min="4" max="10" width="15.7109375" style="3" customWidth="1"/>
    <col min="11" max="24" width="8.85546875" style="3"/>
    <col min="25" max="25" width="8.85546875" style="3" customWidth="1"/>
    <col min="26" max="27" width="8.85546875" style="3" hidden="1" customWidth="1"/>
    <col min="28" max="16384" width="8.85546875" style="3"/>
  </cols>
  <sheetData>
    <row r="1" spans="1:46" ht="22.5" x14ac:dyDescent="0.25">
      <c r="A1" s="65" t="s">
        <v>120</v>
      </c>
      <c r="B1" s="1"/>
      <c r="E1" s="60"/>
      <c r="F1" s="60"/>
      <c r="G1" s="60"/>
      <c r="H1" s="60"/>
      <c r="I1" s="60"/>
      <c r="Z1" s="3" t="str" cm="1">
        <f t="array" aca="1" ref="Z1:Z11" ca="1">FILTER_BRIDGE!K2:INDIRECT(FILTER_BRIDGE!O3)</f>
        <v xml:space="preserve">     Select Fund Here:</v>
      </c>
      <c r="AA1" s="72">
        <v>1</v>
      </c>
    </row>
    <row r="2" spans="1:46" ht="22.5" x14ac:dyDescent="0.25">
      <c r="A2" s="159" t="s">
        <v>152</v>
      </c>
      <c r="B2" s="1"/>
      <c r="E2" s="60"/>
      <c r="F2" s="60"/>
      <c r="G2" s="60"/>
      <c r="H2" s="60"/>
      <c r="I2" s="60"/>
      <c r="Z2" s="3" t="str">
        <f ca="1"/>
        <v>General Fund</v>
      </c>
      <c r="AT2" s="72"/>
    </row>
    <row r="3" spans="1:46" ht="20.25" x14ac:dyDescent="0.3">
      <c r="A3" s="64" t="str">
        <f ca="1">_xlfn.CONCAT("Budget Year | ", IF(MONTH(TODAY())&gt;8,YEAR(TODAY())+2,YEAR(TODAY())+1))</f>
        <v>Budget Year | 2026</v>
      </c>
      <c r="B3" s="2"/>
      <c r="C3" s="39"/>
      <c r="E3" s="40"/>
      <c r="G3" s="40"/>
      <c r="Z3" s="3" t="str">
        <f ca="1"/>
        <v>Drug Fund</v>
      </c>
    </row>
    <row r="4" spans="1:46" ht="20.25" x14ac:dyDescent="0.3">
      <c r="B4" s="4"/>
      <c r="Z4" s="3" t="str">
        <f ca="1"/>
        <v>Capital Projects</v>
      </c>
    </row>
    <row r="5" spans="1:46" ht="20.25" x14ac:dyDescent="0.3">
      <c r="A5" s="151" t="str">
        <f>'Step 1) Budget Summary'!B4</f>
        <v>City of Pawnee</v>
      </c>
      <c r="Z5" s="3" t="str">
        <f ca="1"/>
        <v>State Street Aid</v>
      </c>
    </row>
    <row r="6" spans="1:46" ht="15.75" x14ac:dyDescent="0.25">
      <c r="A6" s="67"/>
      <c r="Z6" s="3" t="str">
        <f ca="1"/>
        <v>General Purpose School Fund</v>
      </c>
    </row>
    <row r="7" spans="1:46" ht="18.75" x14ac:dyDescent="0.3">
      <c r="A7" s="66" t="s">
        <v>42</v>
      </c>
      <c r="B7" s="71"/>
      <c r="D7" s="67" t="str">
        <f>IF(AA1=1,"Proceed to Step 2.", "No debt. No additional user input needed. Schedule complete.")</f>
        <v>Proceed to Step 2.</v>
      </c>
      <c r="Z7" s="3" t="str">
        <f ca="1"/>
        <v>School Federal Projects Fund</v>
      </c>
    </row>
    <row r="8" spans="1:46" x14ac:dyDescent="0.25">
      <c r="Z8" s="3" t="str">
        <f ca="1"/>
        <v>School Cafeteria Fund</v>
      </c>
    </row>
    <row r="9" spans="1:46" ht="18.75" x14ac:dyDescent="0.3">
      <c r="A9" s="66" t="s">
        <v>45</v>
      </c>
      <c r="Z9" s="3" t="str">
        <f ca="1"/>
        <v>Water Fund</v>
      </c>
    </row>
    <row r="10" spans="1:46" x14ac:dyDescent="0.25">
      <c r="A10" s="78" t="s">
        <v>151</v>
      </c>
      <c r="Z10" s="3" t="str">
        <f ca="1"/>
        <v>Sewer Fund</v>
      </c>
    </row>
    <row r="11" spans="1:46" x14ac:dyDescent="0.25">
      <c r="G11" s="209" t="s">
        <v>36</v>
      </c>
      <c r="H11" s="210"/>
      <c r="I11" s="211"/>
      <c r="Z11" s="3" t="str">
        <f ca="1"/>
        <v>Gas Fund</v>
      </c>
    </row>
    <row r="12" spans="1:46" ht="45" x14ac:dyDescent="0.25">
      <c r="A12" s="58" t="str">
        <f>IF(AA1=1, "Fund", "NO DEBT - Schedule Complete")</f>
        <v>Fund</v>
      </c>
      <c r="B12" s="41" t="s">
        <v>25</v>
      </c>
      <c r="C12" s="41" t="s">
        <v>40</v>
      </c>
      <c r="D12" s="41" t="s">
        <v>26</v>
      </c>
      <c r="E12" s="41" t="s">
        <v>38</v>
      </c>
      <c r="F12" s="41" t="s">
        <v>27</v>
      </c>
      <c r="G12" s="42" t="s">
        <v>28</v>
      </c>
      <c r="H12" s="41" t="s">
        <v>29</v>
      </c>
      <c r="I12" s="43" t="s">
        <v>37</v>
      </c>
      <c r="J12" s="41" t="s">
        <v>30</v>
      </c>
    </row>
    <row r="13" spans="1:46" x14ac:dyDescent="0.25">
      <c r="A13" s="59" t="s">
        <v>7</v>
      </c>
      <c r="B13" s="44" t="s">
        <v>33</v>
      </c>
      <c r="C13" s="152" t="s">
        <v>183</v>
      </c>
      <c r="D13" s="49">
        <v>1500000</v>
      </c>
      <c r="E13" s="49">
        <v>0</v>
      </c>
      <c r="F13" s="49">
        <v>750000</v>
      </c>
      <c r="G13" s="50">
        <v>120000</v>
      </c>
      <c r="H13" s="49">
        <v>75000</v>
      </c>
      <c r="I13" s="51">
        <f>SUM(G13:H13)</f>
        <v>195000</v>
      </c>
      <c r="J13" s="16">
        <v>20</v>
      </c>
    </row>
    <row r="14" spans="1:46" x14ac:dyDescent="0.25">
      <c r="A14" s="59" t="s">
        <v>7</v>
      </c>
      <c r="B14" s="44" t="s">
        <v>31</v>
      </c>
      <c r="C14" s="152" t="s">
        <v>184</v>
      </c>
      <c r="D14" s="52">
        <v>300000</v>
      </c>
      <c r="E14" s="52">
        <v>0</v>
      </c>
      <c r="F14" s="52">
        <v>150000</v>
      </c>
      <c r="G14" s="53">
        <v>50000</v>
      </c>
      <c r="H14" s="52">
        <v>20000</v>
      </c>
      <c r="I14" s="54">
        <f t="shared" ref="I14:I40" si="0">SUM(G14:H14)</f>
        <v>70000</v>
      </c>
      <c r="J14" s="16">
        <v>20</v>
      </c>
    </row>
    <row r="15" spans="1:46" x14ac:dyDescent="0.25">
      <c r="A15" s="59" t="s">
        <v>9</v>
      </c>
      <c r="B15" s="44" t="s">
        <v>33</v>
      </c>
      <c r="C15" s="152" t="s">
        <v>185</v>
      </c>
      <c r="D15" s="52">
        <v>3250000</v>
      </c>
      <c r="E15" s="52">
        <v>0</v>
      </c>
      <c r="F15" s="52">
        <v>2800000</v>
      </c>
      <c r="G15" s="53">
        <v>200000</v>
      </c>
      <c r="H15" s="52">
        <v>86000</v>
      </c>
      <c r="I15" s="54">
        <f t="shared" si="0"/>
        <v>286000</v>
      </c>
      <c r="J15" s="16">
        <v>32</v>
      </c>
    </row>
    <row r="16" spans="1:46" x14ac:dyDescent="0.25">
      <c r="A16" s="59" t="s">
        <v>11</v>
      </c>
      <c r="B16" s="44" t="s">
        <v>31</v>
      </c>
      <c r="C16" s="152" t="s">
        <v>186</v>
      </c>
      <c r="D16" s="52">
        <v>1750000</v>
      </c>
      <c r="E16" s="52">
        <v>0</v>
      </c>
      <c r="F16" s="52">
        <v>1500000</v>
      </c>
      <c r="G16" s="53">
        <v>100000</v>
      </c>
      <c r="H16" s="52">
        <v>80000</v>
      </c>
      <c r="I16" s="54">
        <f t="shared" si="0"/>
        <v>180000</v>
      </c>
      <c r="J16" s="16">
        <v>26</v>
      </c>
    </row>
    <row r="17" spans="1:10" x14ac:dyDescent="0.25">
      <c r="A17" s="59" t="s">
        <v>11</v>
      </c>
      <c r="B17" s="44" t="s">
        <v>33</v>
      </c>
      <c r="C17" s="152" t="s">
        <v>187</v>
      </c>
      <c r="D17" s="52">
        <v>200000</v>
      </c>
      <c r="E17" s="52">
        <v>0</v>
      </c>
      <c r="F17" s="52">
        <v>100000</v>
      </c>
      <c r="G17" s="53">
        <v>50000</v>
      </c>
      <c r="H17" s="52">
        <v>40000</v>
      </c>
      <c r="I17" s="54">
        <f t="shared" si="0"/>
        <v>90000</v>
      </c>
      <c r="J17" s="16">
        <v>27</v>
      </c>
    </row>
    <row r="18" spans="1:10" x14ac:dyDescent="0.25">
      <c r="A18" s="59" t="s">
        <v>7</v>
      </c>
      <c r="B18" s="44" t="s">
        <v>33</v>
      </c>
      <c r="C18" s="152" t="s">
        <v>188</v>
      </c>
      <c r="D18" s="52">
        <v>900000</v>
      </c>
      <c r="E18" s="52">
        <v>0</v>
      </c>
      <c r="F18" s="52">
        <v>500000</v>
      </c>
      <c r="G18" s="53">
        <v>80000</v>
      </c>
      <c r="H18" s="52">
        <v>75000</v>
      </c>
      <c r="I18" s="54">
        <f t="shared" si="0"/>
        <v>155000</v>
      </c>
      <c r="J18" s="16">
        <v>21</v>
      </c>
    </row>
    <row r="19" spans="1:10" x14ac:dyDescent="0.25">
      <c r="A19" s="59" t="s">
        <v>136</v>
      </c>
      <c r="B19" s="44" t="s">
        <v>33</v>
      </c>
      <c r="C19" s="152" t="s">
        <v>189</v>
      </c>
      <c r="D19" s="52">
        <v>1250000</v>
      </c>
      <c r="E19" s="52">
        <v>0</v>
      </c>
      <c r="F19" s="52">
        <v>870000</v>
      </c>
      <c r="G19" s="53">
        <v>125000</v>
      </c>
      <c r="H19" s="52">
        <v>92000</v>
      </c>
      <c r="I19" s="54">
        <f t="shared" si="0"/>
        <v>217000</v>
      </c>
      <c r="J19" s="16">
        <v>23</v>
      </c>
    </row>
    <row r="20" spans="1:10" x14ac:dyDescent="0.25">
      <c r="A20" s="59" t="s">
        <v>150</v>
      </c>
      <c r="B20" s="44" t="s">
        <v>39</v>
      </c>
      <c r="C20" s="152"/>
      <c r="D20" s="52"/>
      <c r="E20" s="52"/>
      <c r="F20" s="52"/>
      <c r="G20" s="53"/>
      <c r="H20" s="52"/>
      <c r="I20" s="54">
        <f t="shared" si="0"/>
        <v>0</v>
      </c>
      <c r="J20" s="16"/>
    </row>
    <row r="21" spans="1:10" x14ac:dyDescent="0.25">
      <c r="A21" s="59" t="s">
        <v>150</v>
      </c>
      <c r="B21" s="44" t="s">
        <v>39</v>
      </c>
      <c r="C21" s="152"/>
      <c r="D21" s="52"/>
      <c r="E21" s="52"/>
      <c r="F21" s="52"/>
      <c r="G21" s="53"/>
      <c r="H21" s="52"/>
      <c r="I21" s="54">
        <f t="shared" si="0"/>
        <v>0</v>
      </c>
      <c r="J21" s="16"/>
    </row>
    <row r="22" spans="1:10" x14ac:dyDescent="0.25">
      <c r="A22" s="59" t="s">
        <v>150</v>
      </c>
      <c r="B22" s="44" t="s">
        <v>39</v>
      </c>
      <c r="C22" s="152"/>
      <c r="D22" s="52"/>
      <c r="E22" s="52"/>
      <c r="F22" s="52"/>
      <c r="G22" s="53"/>
      <c r="H22" s="52"/>
      <c r="I22" s="54">
        <f t="shared" si="0"/>
        <v>0</v>
      </c>
      <c r="J22" s="16"/>
    </row>
    <row r="23" spans="1:10" hidden="1" outlineLevel="1" x14ac:dyDescent="0.25">
      <c r="A23" s="59" t="s">
        <v>150</v>
      </c>
      <c r="B23" s="44" t="s">
        <v>39</v>
      </c>
      <c r="C23" s="152"/>
      <c r="D23" s="52"/>
      <c r="E23" s="52"/>
      <c r="F23" s="52"/>
      <c r="G23" s="53"/>
      <c r="H23" s="52"/>
      <c r="I23" s="54">
        <f t="shared" si="0"/>
        <v>0</v>
      </c>
      <c r="J23" s="16"/>
    </row>
    <row r="24" spans="1:10" hidden="1" outlineLevel="1" x14ac:dyDescent="0.25">
      <c r="A24" s="59" t="s">
        <v>150</v>
      </c>
      <c r="B24" s="44" t="s">
        <v>39</v>
      </c>
      <c r="C24" s="152"/>
      <c r="D24" s="52"/>
      <c r="E24" s="52"/>
      <c r="F24" s="52"/>
      <c r="G24" s="53"/>
      <c r="H24" s="52"/>
      <c r="I24" s="54">
        <f t="shared" si="0"/>
        <v>0</v>
      </c>
      <c r="J24" s="16"/>
    </row>
    <row r="25" spans="1:10" hidden="1" outlineLevel="1" x14ac:dyDescent="0.25">
      <c r="A25" s="59" t="s">
        <v>150</v>
      </c>
      <c r="B25" s="44" t="s">
        <v>39</v>
      </c>
      <c r="C25" s="152"/>
      <c r="D25" s="52"/>
      <c r="E25" s="52"/>
      <c r="F25" s="52"/>
      <c r="G25" s="53"/>
      <c r="H25" s="52"/>
      <c r="I25" s="54">
        <f t="shared" si="0"/>
        <v>0</v>
      </c>
      <c r="J25" s="16"/>
    </row>
    <row r="26" spans="1:10" hidden="1" outlineLevel="1" x14ac:dyDescent="0.25">
      <c r="A26" s="59" t="s">
        <v>150</v>
      </c>
      <c r="B26" s="44" t="s">
        <v>39</v>
      </c>
      <c r="C26" s="152"/>
      <c r="D26" s="52"/>
      <c r="E26" s="52"/>
      <c r="F26" s="52"/>
      <c r="G26" s="53"/>
      <c r="H26" s="52"/>
      <c r="I26" s="54">
        <f t="shared" si="0"/>
        <v>0</v>
      </c>
      <c r="J26" s="16"/>
    </row>
    <row r="27" spans="1:10" hidden="1" outlineLevel="1" x14ac:dyDescent="0.25">
      <c r="A27" s="59" t="s">
        <v>150</v>
      </c>
      <c r="B27" s="44" t="s">
        <v>39</v>
      </c>
      <c r="C27" s="152"/>
      <c r="D27" s="52"/>
      <c r="E27" s="52"/>
      <c r="F27" s="52"/>
      <c r="G27" s="53"/>
      <c r="H27" s="52"/>
      <c r="I27" s="54">
        <f t="shared" si="0"/>
        <v>0</v>
      </c>
      <c r="J27" s="16"/>
    </row>
    <row r="28" spans="1:10" hidden="1" outlineLevel="1" x14ac:dyDescent="0.25">
      <c r="A28" s="59" t="s">
        <v>150</v>
      </c>
      <c r="B28" s="44" t="s">
        <v>39</v>
      </c>
      <c r="C28" s="152"/>
      <c r="D28" s="52"/>
      <c r="E28" s="52"/>
      <c r="F28" s="52"/>
      <c r="G28" s="53"/>
      <c r="H28" s="52"/>
      <c r="I28" s="54">
        <f t="shared" si="0"/>
        <v>0</v>
      </c>
      <c r="J28" s="16"/>
    </row>
    <row r="29" spans="1:10" hidden="1" outlineLevel="1" x14ac:dyDescent="0.25">
      <c r="A29" s="59" t="s">
        <v>150</v>
      </c>
      <c r="B29" s="44" t="s">
        <v>39</v>
      </c>
      <c r="C29" s="152"/>
      <c r="D29" s="52"/>
      <c r="E29" s="52"/>
      <c r="F29" s="52"/>
      <c r="G29" s="53"/>
      <c r="H29" s="52"/>
      <c r="I29" s="54">
        <f t="shared" si="0"/>
        <v>0</v>
      </c>
      <c r="J29" s="16"/>
    </row>
    <row r="30" spans="1:10" hidden="1" outlineLevel="1" x14ac:dyDescent="0.25">
      <c r="A30" s="59" t="s">
        <v>150</v>
      </c>
      <c r="B30" s="44" t="s">
        <v>39</v>
      </c>
      <c r="C30" s="152"/>
      <c r="D30" s="52"/>
      <c r="E30" s="52"/>
      <c r="F30" s="52"/>
      <c r="G30" s="53"/>
      <c r="H30" s="52"/>
      <c r="I30" s="54">
        <f t="shared" si="0"/>
        <v>0</v>
      </c>
      <c r="J30" s="16"/>
    </row>
    <row r="31" spans="1:10" hidden="1" outlineLevel="1" x14ac:dyDescent="0.25">
      <c r="A31" s="59" t="s">
        <v>150</v>
      </c>
      <c r="B31" s="44" t="s">
        <v>39</v>
      </c>
      <c r="C31" s="152"/>
      <c r="D31" s="52"/>
      <c r="E31" s="52"/>
      <c r="F31" s="52"/>
      <c r="G31" s="53"/>
      <c r="H31" s="52"/>
      <c r="I31" s="54">
        <f t="shared" si="0"/>
        <v>0</v>
      </c>
      <c r="J31" s="16"/>
    </row>
    <row r="32" spans="1:10" hidden="1" outlineLevel="1" x14ac:dyDescent="0.25">
      <c r="A32" s="59" t="s">
        <v>150</v>
      </c>
      <c r="B32" s="44" t="s">
        <v>39</v>
      </c>
      <c r="C32" s="152"/>
      <c r="D32" s="52"/>
      <c r="E32" s="52"/>
      <c r="F32" s="52"/>
      <c r="G32" s="53"/>
      <c r="H32" s="52"/>
      <c r="I32" s="54">
        <f t="shared" si="0"/>
        <v>0</v>
      </c>
      <c r="J32" s="16"/>
    </row>
    <row r="33" spans="1:10" hidden="1" outlineLevel="1" x14ac:dyDescent="0.25">
      <c r="A33" s="59" t="s">
        <v>150</v>
      </c>
      <c r="B33" s="44" t="s">
        <v>39</v>
      </c>
      <c r="C33" s="152"/>
      <c r="D33" s="52"/>
      <c r="E33" s="52"/>
      <c r="F33" s="52"/>
      <c r="G33" s="53"/>
      <c r="H33" s="52"/>
      <c r="I33" s="54">
        <f t="shared" si="0"/>
        <v>0</v>
      </c>
      <c r="J33" s="16"/>
    </row>
    <row r="34" spans="1:10" hidden="1" outlineLevel="1" x14ac:dyDescent="0.25">
      <c r="A34" s="59" t="s">
        <v>150</v>
      </c>
      <c r="B34" s="44" t="s">
        <v>39</v>
      </c>
      <c r="C34" s="152"/>
      <c r="D34" s="52"/>
      <c r="E34" s="52"/>
      <c r="F34" s="52"/>
      <c r="G34" s="53"/>
      <c r="H34" s="52"/>
      <c r="I34" s="54">
        <f t="shared" si="0"/>
        <v>0</v>
      </c>
      <c r="J34" s="16"/>
    </row>
    <row r="35" spans="1:10" hidden="1" outlineLevel="1" x14ac:dyDescent="0.25">
      <c r="A35" s="59" t="s">
        <v>150</v>
      </c>
      <c r="B35" s="44" t="s">
        <v>39</v>
      </c>
      <c r="C35" s="152"/>
      <c r="D35" s="52"/>
      <c r="E35" s="52"/>
      <c r="F35" s="52"/>
      <c r="G35" s="53"/>
      <c r="H35" s="52"/>
      <c r="I35" s="54">
        <f t="shared" si="0"/>
        <v>0</v>
      </c>
      <c r="J35" s="16"/>
    </row>
    <row r="36" spans="1:10" hidden="1" outlineLevel="1" x14ac:dyDescent="0.25">
      <c r="A36" s="59" t="s">
        <v>150</v>
      </c>
      <c r="B36" s="44" t="s">
        <v>39</v>
      </c>
      <c r="C36" s="152"/>
      <c r="D36" s="52"/>
      <c r="E36" s="52"/>
      <c r="F36" s="52"/>
      <c r="G36" s="53"/>
      <c r="H36" s="52"/>
      <c r="I36" s="54">
        <f t="shared" si="0"/>
        <v>0</v>
      </c>
      <c r="J36" s="16"/>
    </row>
    <row r="37" spans="1:10" hidden="1" outlineLevel="1" x14ac:dyDescent="0.25">
      <c r="A37" s="59" t="s">
        <v>150</v>
      </c>
      <c r="B37" s="44" t="s">
        <v>39</v>
      </c>
      <c r="C37" s="152"/>
      <c r="D37" s="52"/>
      <c r="E37" s="52"/>
      <c r="F37" s="52"/>
      <c r="G37" s="53"/>
      <c r="H37" s="52"/>
      <c r="I37" s="54">
        <f t="shared" si="0"/>
        <v>0</v>
      </c>
      <c r="J37" s="16"/>
    </row>
    <row r="38" spans="1:10" hidden="1" outlineLevel="1" x14ac:dyDescent="0.25">
      <c r="A38" s="59" t="s">
        <v>150</v>
      </c>
      <c r="B38" s="44" t="s">
        <v>39</v>
      </c>
      <c r="C38" s="152"/>
      <c r="D38" s="52"/>
      <c r="E38" s="52"/>
      <c r="F38" s="52"/>
      <c r="G38" s="53"/>
      <c r="H38" s="52"/>
      <c r="I38" s="54">
        <f t="shared" si="0"/>
        <v>0</v>
      </c>
      <c r="J38" s="16"/>
    </row>
    <row r="39" spans="1:10" hidden="1" outlineLevel="1" x14ac:dyDescent="0.25">
      <c r="A39" s="59" t="s">
        <v>150</v>
      </c>
      <c r="B39" s="44" t="s">
        <v>39</v>
      </c>
      <c r="C39" s="152"/>
      <c r="D39" s="52"/>
      <c r="E39" s="52"/>
      <c r="F39" s="52"/>
      <c r="G39" s="53"/>
      <c r="H39" s="52"/>
      <c r="I39" s="54">
        <f t="shared" si="0"/>
        <v>0</v>
      </c>
      <c r="J39" s="16"/>
    </row>
    <row r="40" spans="1:10" hidden="1" outlineLevel="1" x14ac:dyDescent="0.25">
      <c r="A40" s="59" t="s">
        <v>150</v>
      </c>
      <c r="B40" s="44" t="s">
        <v>39</v>
      </c>
      <c r="C40" s="152"/>
      <c r="D40" s="52"/>
      <c r="E40" s="52"/>
      <c r="F40" s="52"/>
      <c r="G40" s="53"/>
      <c r="H40" s="52"/>
      <c r="I40" s="55">
        <f t="shared" si="0"/>
        <v>0</v>
      </c>
      <c r="J40" s="16"/>
    </row>
    <row r="41" spans="1:10" collapsed="1" x14ac:dyDescent="0.25">
      <c r="A41" s="9"/>
      <c r="B41" s="9"/>
      <c r="C41" s="15" t="s">
        <v>14</v>
      </c>
      <c r="D41" s="46">
        <f t="shared" ref="D41:I41" si="1">SUM(D13:D40)</f>
        <v>9150000</v>
      </c>
      <c r="E41" s="46">
        <f t="shared" si="1"/>
        <v>0</v>
      </c>
      <c r="F41" s="46">
        <f t="shared" si="1"/>
        <v>6670000</v>
      </c>
      <c r="G41" s="47">
        <f t="shared" si="1"/>
        <v>725000</v>
      </c>
      <c r="H41" s="48">
        <f t="shared" si="1"/>
        <v>468000</v>
      </c>
      <c r="I41" s="45">
        <f t="shared" si="1"/>
        <v>1193000</v>
      </c>
      <c r="J41" s="9"/>
    </row>
    <row r="43" spans="1:10" ht="18.75" x14ac:dyDescent="0.3">
      <c r="A43" s="66" t="s">
        <v>44</v>
      </c>
    </row>
    <row r="44" spans="1:10" ht="13.9" customHeight="1" x14ac:dyDescent="0.25">
      <c r="A44" s="158" t="str">
        <f>FILTER_BRIDGE!K2</f>
        <v xml:space="preserve">     Select Fund Here:</v>
      </c>
      <c r="C44" s="204" t="s">
        <v>36</v>
      </c>
      <c r="D44" s="205"/>
      <c r="E44" s="206"/>
      <c r="F44" s="19"/>
    </row>
    <row r="45" spans="1:10" x14ac:dyDescent="0.25">
      <c r="A45" s="58" t="str">
        <f>IF(AA1=1, "Fund", "NO DEBT - Schedule Complete")</f>
        <v>Fund</v>
      </c>
      <c r="B45" s="57" t="s">
        <v>129</v>
      </c>
      <c r="C45" s="57" t="s">
        <v>28</v>
      </c>
      <c r="D45" s="57" t="s">
        <v>29</v>
      </c>
      <c r="E45" s="57" t="s">
        <v>37</v>
      </c>
      <c r="F45" s="19"/>
    </row>
    <row r="46" spans="1:10" x14ac:dyDescent="0.25">
      <c r="A46" s="73" t="str" cm="1">
        <f t="array" ref="A46">IFERROR(INDEX($A$13:$A$40, MATCH(0,IF($A$13:$A$40="",1,COUNTIF($A$44:A45,$A$13:$A$40)),0)),"")</f>
        <v>General Fund</v>
      </c>
      <c r="B46" s="147">
        <f t="shared" ref="B46:B73" si="2">IF(A46&lt;&gt;"",COUNTIF($A$13:$A$40,A46),"")</f>
        <v>3</v>
      </c>
      <c r="C46" s="74">
        <f>IF(A46&lt;&gt;"",SUMIF($A$13:$A$40,A46,$G$13:$G$40),"")</f>
        <v>250000</v>
      </c>
      <c r="D46" s="74">
        <f>IF(A46&lt;&gt;"",SUMIF($A$13:$A$40,A46,$H$13:$H$40),"")</f>
        <v>170000</v>
      </c>
      <c r="E46" s="74">
        <f>IF(A46&lt;&gt;"",SUMIF($A$13:$A$40,A46,$I$13:$I$40),"")</f>
        <v>420000</v>
      </c>
      <c r="F46" s="19"/>
    </row>
    <row r="47" spans="1:10" x14ac:dyDescent="0.25">
      <c r="A47" s="19" t="str" cm="1">
        <f t="array" ref="A47">IFERROR(INDEX($A$13:$A$40, MATCH(0,IF($A$13:$A$40="",1,COUNTIF($A$44:A46,$A$13:$A$40)),0)),"")</f>
        <v>General Purpose School Fund</v>
      </c>
      <c r="B47" s="148">
        <f t="shared" si="2"/>
        <v>1</v>
      </c>
      <c r="C47" s="56">
        <f>IF(A47&lt;&gt;"",SUMIF($A$13:$A$40,A47,$G$13:$G$40),"")</f>
        <v>200000</v>
      </c>
      <c r="D47" s="56">
        <f>IF(A47&lt;&gt;"",SUMIF($A$13:$A$40,A47,$H$13:$H$40),"")</f>
        <v>86000</v>
      </c>
      <c r="E47" s="56">
        <f>IF(A47&lt;&gt;"",SUMIF($A$13:$A$40,A47,$I$13:$I$40),"")</f>
        <v>286000</v>
      </c>
      <c r="F47" s="19"/>
    </row>
    <row r="48" spans="1:10" x14ac:dyDescent="0.25">
      <c r="A48" s="19" t="str" cm="1">
        <f t="array" ref="A48">IFERROR(INDEX($A$13:$A$40, MATCH(0,IF($A$13:$A$40="",1,COUNTIF($A$44:A47,$A$13:$A$40)),0)),"")</f>
        <v>Water Fund</v>
      </c>
      <c r="B48" s="148">
        <f t="shared" si="2"/>
        <v>2</v>
      </c>
      <c r="C48" s="56">
        <f>IF(A48&lt;&gt;"",SUMIF($A$13:$A$40,A48,$G$13:$G$40),"")</f>
        <v>150000</v>
      </c>
      <c r="D48" s="56">
        <f>IF(A48&lt;&gt;"",SUMIF($A$13:$A$40,A48,$H$13:$H$40),"")</f>
        <v>120000</v>
      </c>
      <c r="E48" s="56">
        <f>IF(A48&lt;&gt;"",SUMIF($A$13:$A$40,A48,$I$13:$I$40),"")</f>
        <v>270000</v>
      </c>
    </row>
    <row r="49" spans="1:5" x14ac:dyDescent="0.25">
      <c r="A49" s="19" t="str" cm="1">
        <f t="array" ref="A49">IFERROR(INDEX($A$13:$A$40, MATCH(0,IF($A$13:$A$40="",1,COUNTIF($A$44:A48,$A$13:$A$40)),0)),"")</f>
        <v>Gas Fund</v>
      </c>
      <c r="B49" s="148">
        <f t="shared" si="2"/>
        <v>1</v>
      </c>
      <c r="C49" s="56">
        <f>IF(A49&lt;&gt;"",SUMIF($A$13:$A$40,A49,$G$13:$G$40),"")</f>
        <v>125000</v>
      </c>
      <c r="D49" s="56">
        <f>IF(A49&lt;&gt;"",SUMIF($A$13:$A$40,A49,$H$13:$H$40),"")</f>
        <v>92000</v>
      </c>
      <c r="E49" s="56">
        <f t="shared" ref="E49:E73" si="3">IF(A49&lt;&gt;"",SUMIF($A$13:$A$40,A49,$I$13:$I$40),"")</f>
        <v>217000</v>
      </c>
    </row>
    <row r="50" spans="1:5" x14ac:dyDescent="0.25">
      <c r="A50" s="19" t="str" cm="1">
        <f t="array" ref="A50">IFERROR(INDEX($A$13:$A$40, MATCH(0,IF($A$13:$A$40="",1,COUNTIF($A$44:A49,$A$13:$A$40)),0)),"")</f>
        <v/>
      </c>
      <c r="B50" s="148" t="str">
        <f t="shared" si="2"/>
        <v/>
      </c>
      <c r="C50" s="56" t="str">
        <f>IF(A50&lt;&gt;"",SUMIF($A$13:$A$40,A50,$G$13:$G$40),"")</f>
        <v/>
      </c>
      <c r="D50" s="56" t="str">
        <f>IF(A50&lt;&gt;"",SUMIF($A$13:$A$40,A50,$H$13:$H$40),"")</f>
        <v/>
      </c>
      <c r="E50" s="56" t="str">
        <f t="shared" si="3"/>
        <v/>
      </c>
    </row>
    <row r="51" spans="1:5" x14ac:dyDescent="0.25">
      <c r="A51" s="19" t="str" cm="1">
        <f t="array" ref="A51">IFERROR(INDEX($A$13:$A$40, MATCH(0,IF($A$13:$A$40="",1,COUNTIF($A$44:A50,$A$13:$A$40)),0)),"")</f>
        <v/>
      </c>
      <c r="B51" s="148" t="str">
        <f t="shared" si="2"/>
        <v/>
      </c>
      <c r="C51" s="56" t="str">
        <f t="shared" ref="C51:C73" si="4">IF(A51&lt;&gt;"",SUMIF($A$13:$A$40,A51,$H$13:$H$40),"")</f>
        <v/>
      </c>
      <c r="D51" s="56" t="str">
        <f t="shared" ref="D51:D73" si="5">IF(A51&lt;&gt;"",SUMIF($A$13:$A$40,A51,$I$13:$I$40),"")</f>
        <v/>
      </c>
      <c r="E51" s="56" t="str">
        <f t="shared" si="3"/>
        <v/>
      </c>
    </row>
    <row r="52" spans="1:5" x14ac:dyDescent="0.25">
      <c r="A52" s="19" t="str" cm="1">
        <f t="array" ref="A52">IFERROR(INDEX($A$13:$A$40, MATCH(0,IF($A$13:$A$40="",1,COUNTIF($A$44:A51,$A$13:$A$40)),0)),"")</f>
        <v/>
      </c>
      <c r="B52" s="148" t="str">
        <f t="shared" si="2"/>
        <v/>
      </c>
      <c r="C52" s="56" t="str">
        <f t="shared" si="4"/>
        <v/>
      </c>
      <c r="D52" s="56" t="str">
        <f t="shared" si="5"/>
        <v/>
      </c>
      <c r="E52" s="56" t="str">
        <f t="shared" si="3"/>
        <v/>
      </c>
    </row>
    <row r="53" spans="1:5" x14ac:dyDescent="0.25">
      <c r="A53" s="19" t="str" cm="1">
        <f t="array" ref="A53">IFERROR(INDEX($A$13:$A$40, MATCH(0,IF($A$13:$A$40="",1,COUNTIF($A$44:A52,$A$13:$A$40)),0)),"")</f>
        <v/>
      </c>
      <c r="B53" s="148" t="str">
        <f t="shared" si="2"/>
        <v/>
      </c>
      <c r="C53" s="56" t="str">
        <f t="shared" si="4"/>
        <v/>
      </c>
      <c r="D53" s="56" t="str">
        <f t="shared" si="5"/>
        <v/>
      </c>
      <c r="E53" s="56" t="str">
        <f t="shared" si="3"/>
        <v/>
      </c>
    </row>
    <row r="54" spans="1:5" x14ac:dyDescent="0.25">
      <c r="A54" s="19" t="str" cm="1">
        <f t="array" ref="A54">IFERROR(INDEX($A$13:$A$40, MATCH(0,IF($A$13:$A$40="",1,COUNTIF($A$44:A53,$A$13:$A$40)),0)),"")</f>
        <v/>
      </c>
      <c r="B54" s="148" t="str">
        <f t="shared" si="2"/>
        <v/>
      </c>
      <c r="C54" s="56" t="str">
        <f t="shared" si="4"/>
        <v/>
      </c>
      <c r="D54" s="56" t="str">
        <f t="shared" si="5"/>
        <v/>
      </c>
      <c r="E54" s="56" t="str">
        <f t="shared" si="3"/>
        <v/>
      </c>
    </row>
    <row r="55" spans="1:5" x14ac:dyDescent="0.25">
      <c r="A55" s="19" t="str" cm="1">
        <f t="array" ref="A55">IFERROR(INDEX($A$13:$A$40, MATCH(0,IF($A$13:$A$40="",1,COUNTIF($A$44:A54,$A$13:$A$40)),0)),"")</f>
        <v/>
      </c>
      <c r="B55" s="148" t="str">
        <f t="shared" si="2"/>
        <v/>
      </c>
      <c r="C55" s="56" t="str">
        <f t="shared" si="4"/>
        <v/>
      </c>
      <c r="D55" s="56" t="str">
        <f t="shared" si="5"/>
        <v/>
      </c>
      <c r="E55" s="56" t="str">
        <f t="shared" si="3"/>
        <v/>
      </c>
    </row>
    <row r="56" spans="1:5" x14ac:dyDescent="0.25">
      <c r="A56" s="19" t="str" cm="1">
        <f t="array" ref="A56">IFERROR(INDEX($A$13:$A$40, MATCH(0,IF($A$13:$A$40="",1,COUNTIF($A$44:A55,$A$13:$A$40)),0)),"")</f>
        <v/>
      </c>
      <c r="B56" s="148" t="str">
        <f t="shared" si="2"/>
        <v/>
      </c>
      <c r="C56" s="56" t="str">
        <f t="shared" si="4"/>
        <v/>
      </c>
      <c r="D56" s="56" t="str">
        <f t="shared" si="5"/>
        <v/>
      </c>
      <c r="E56" s="56" t="str">
        <f t="shared" si="3"/>
        <v/>
      </c>
    </row>
    <row r="57" spans="1:5" x14ac:dyDescent="0.25">
      <c r="A57" s="19" t="str" cm="1">
        <f t="array" ref="A57">IFERROR(INDEX($A$13:$A$40, MATCH(0,IF($A$13:$A$40="",1,COUNTIF($A$44:A56,$A$13:$A$40)),0)),"")</f>
        <v/>
      </c>
      <c r="B57" s="148" t="str">
        <f t="shared" si="2"/>
        <v/>
      </c>
      <c r="C57" s="56" t="str">
        <f t="shared" si="4"/>
        <v/>
      </c>
      <c r="D57" s="56" t="str">
        <f t="shared" si="5"/>
        <v/>
      </c>
      <c r="E57" s="56" t="str">
        <f t="shared" si="3"/>
        <v/>
      </c>
    </row>
    <row r="58" spans="1:5" x14ac:dyDescent="0.25">
      <c r="A58" s="19" t="str" cm="1">
        <f t="array" ref="A58">IFERROR(INDEX($A$13:$A$40, MATCH(0,IF($A$13:$A$40="",1,COUNTIF($A$44:A57,$A$13:$A$40)),0)),"")</f>
        <v/>
      </c>
      <c r="B58" s="148" t="str">
        <f t="shared" si="2"/>
        <v/>
      </c>
      <c r="C58" s="56" t="str">
        <f t="shared" si="4"/>
        <v/>
      </c>
      <c r="D58" s="56" t="str">
        <f t="shared" si="5"/>
        <v/>
      </c>
      <c r="E58" s="56" t="str">
        <f t="shared" si="3"/>
        <v/>
      </c>
    </row>
    <row r="59" spans="1:5" x14ac:dyDescent="0.25">
      <c r="A59" s="19" t="str" cm="1">
        <f t="array" ref="A59">IFERROR(INDEX($A$13:$A$40, MATCH(0,IF($A$13:$A$40="",1,COUNTIF($A$44:A58,$A$13:$A$40)),0)),"")</f>
        <v/>
      </c>
      <c r="B59" s="148" t="str">
        <f t="shared" si="2"/>
        <v/>
      </c>
      <c r="C59" s="56" t="str">
        <f t="shared" si="4"/>
        <v/>
      </c>
      <c r="D59" s="56" t="str">
        <f t="shared" si="5"/>
        <v/>
      </c>
      <c r="E59" s="56" t="str">
        <f t="shared" si="3"/>
        <v/>
      </c>
    </row>
    <row r="60" spans="1:5" x14ac:dyDescent="0.25">
      <c r="A60" s="19" t="str" cm="1">
        <f t="array" ref="A60">IFERROR(INDEX($A$13:$A$40, MATCH(0,IF($A$13:$A$40="",1,COUNTIF($A$44:A59,$A$13:$A$40)),0)),"")</f>
        <v/>
      </c>
      <c r="B60" s="148" t="str">
        <f t="shared" si="2"/>
        <v/>
      </c>
      <c r="C60" s="56" t="str">
        <f t="shared" si="4"/>
        <v/>
      </c>
      <c r="D60" s="56" t="str">
        <f t="shared" si="5"/>
        <v/>
      </c>
      <c r="E60" s="56" t="str">
        <f t="shared" si="3"/>
        <v/>
      </c>
    </row>
    <row r="61" spans="1:5" x14ac:dyDescent="0.25">
      <c r="A61" s="19" t="str" cm="1">
        <f t="array" ref="A61">IFERROR(INDEX($A$13:$A$40, MATCH(0,IF($A$13:$A$40="",1,COUNTIF($A$44:A60,$A$13:$A$40)),0)),"")</f>
        <v/>
      </c>
      <c r="B61" s="148" t="str">
        <f t="shared" si="2"/>
        <v/>
      </c>
      <c r="C61" s="56" t="str">
        <f t="shared" si="4"/>
        <v/>
      </c>
      <c r="D61" s="56" t="str">
        <f t="shared" si="5"/>
        <v/>
      </c>
      <c r="E61" s="56" t="str">
        <f t="shared" si="3"/>
        <v/>
      </c>
    </row>
    <row r="62" spans="1:5" x14ac:dyDescent="0.25">
      <c r="A62" s="19" t="str" cm="1">
        <f t="array" ref="A62">IFERROR(INDEX($A$13:$A$40, MATCH(0,IF($A$13:$A$40="",1,COUNTIF($A$44:A61,$A$13:$A$40)),0)),"")</f>
        <v/>
      </c>
      <c r="B62" s="148" t="str">
        <f t="shared" si="2"/>
        <v/>
      </c>
      <c r="C62" s="56" t="str">
        <f t="shared" si="4"/>
        <v/>
      </c>
      <c r="D62" s="56" t="str">
        <f t="shared" si="5"/>
        <v/>
      </c>
      <c r="E62" s="56" t="str">
        <f t="shared" si="3"/>
        <v/>
      </c>
    </row>
    <row r="63" spans="1:5" x14ac:dyDescent="0.25">
      <c r="A63" s="19" t="str" cm="1">
        <f t="array" ref="A63">IFERROR(INDEX($A$13:$A$40, MATCH(0,IF($A$13:$A$40="",1,COUNTIF($A$44:A62,$A$13:$A$40)),0)),"")</f>
        <v/>
      </c>
      <c r="B63" s="148" t="str">
        <f t="shared" si="2"/>
        <v/>
      </c>
      <c r="C63" s="56" t="str">
        <f t="shared" si="4"/>
        <v/>
      </c>
      <c r="D63" s="56" t="str">
        <f t="shared" si="5"/>
        <v/>
      </c>
      <c r="E63" s="56" t="str">
        <f t="shared" si="3"/>
        <v/>
      </c>
    </row>
    <row r="64" spans="1:5" x14ac:dyDescent="0.25">
      <c r="A64" s="19" t="str" cm="1">
        <f t="array" ref="A64">IFERROR(INDEX($A$13:$A$40, MATCH(0,IF($A$13:$A$40="",1,COUNTIF($A$44:A63,$A$13:$A$40)),0)),"")</f>
        <v/>
      </c>
      <c r="B64" s="148" t="str">
        <f t="shared" si="2"/>
        <v/>
      </c>
      <c r="C64" s="56" t="str">
        <f t="shared" si="4"/>
        <v/>
      </c>
      <c r="D64" s="56" t="str">
        <f t="shared" si="5"/>
        <v/>
      </c>
      <c r="E64" s="56" t="str">
        <f t="shared" si="3"/>
        <v/>
      </c>
    </row>
    <row r="65" spans="1:5" x14ac:dyDescent="0.25">
      <c r="A65" s="19" t="str" cm="1">
        <f t="array" ref="A65">IFERROR(INDEX($A$13:$A$40, MATCH(0,IF($A$13:$A$40="",1,COUNTIF($A$44:A64,$A$13:$A$40)),0)),"")</f>
        <v/>
      </c>
      <c r="B65" s="148" t="str">
        <f t="shared" si="2"/>
        <v/>
      </c>
      <c r="C65" s="56" t="str">
        <f t="shared" si="4"/>
        <v/>
      </c>
      <c r="D65" s="56" t="str">
        <f t="shared" si="5"/>
        <v/>
      </c>
      <c r="E65" s="56" t="str">
        <f t="shared" si="3"/>
        <v/>
      </c>
    </row>
    <row r="66" spans="1:5" x14ac:dyDescent="0.25">
      <c r="A66" s="19" t="str" cm="1">
        <f t="array" ref="A66">IFERROR(INDEX($A$13:$A$40, MATCH(0,IF($A$13:$A$40="",1,COUNTIF($A$44:A65,$A$13:$A$40)),0)),"")</f>
        <v/>
      </c>
      <c r="B66" s="148" t="str">
        <f t="shared" si="2"/>
        <v/>
      </c>
      <c r="C66" s="56" t="str">
        <f t="shared" si="4"/>
        <v/>
      </c>
      <c r="D66" s="56" t="str">
        <f t="shared" si="5"/>
        <v/>
      </c>
      <c r="E66" s="56" t="str">
        <f t="shared" si="3"/>
        <v/>
      </c>
    </row>
    <row r="67" spans="1:5" x14ac:dyDescent="0.25">
      <c r="A67" s="19" t="str" cm="1">
        <f t="array" ref="A67">IFERROR(INDEX($A$13:$A$40, MATCH(0,IF($A$13:$A$40="",1,COUNTIF($A$44:A66,$A$13:$A$40)),0)),"")</f>
        <v/>
      </c>
      <c r="B67" s="148" t="str">
        <f t="shared" si="2"/>
        <v/>
      </c>
      <c r="C67" s="56" t="str">
        <f t="shared" si="4"/>
        <v/>
      </c>
      <c r="D67" s="56" t="str">
        <f t="shared" si="5"/>
        <v/>
      </c>
      <c r="E67" s="56" t="str">
        <f t="shared" si="3"/>
        <v/>
      </c>
    </row>
    <row r="68" spans="1:5" x14ac:dyDescent="0.25">
      <c r="A68" s="19" t="str" cm="1">
        <f t="array" ref="A68">IFERROR(INDEX($A$13:$A$40, MATCH(0,IF($A$13:$A$40="",1,COUNTIF($A$44:A67,$A$13:$A$40)),0)),"")</f>
        <v/>
      </c>
      <c r="B68" s="148" t="str">
        <f t="shared" si="2"/>
        <v/>
      </c>
      <c r="C68" s="56" t="str">
        <f t="shared" si="4"/>
        <v/>
      </c>
      <c r="D68" s="56" t="str">
        <f t="shared" si="5"/>
        <v/>
      </c>
      <c r="E68" s="56" t="str">
        <f t="shared" si="3"/>
        <v/>
      </c>
    </row>
    <row r="69" spans="1:5" x14ac:dyDescent="0.25">
      <c r="A69" s="19" t="str" cm="1">
        <f t="array" ref="A69">IFERROR(INDEX($A$13:$A$40, MATCH(0,IF($A$13:$A$40="",1,COUNTIF($A$44:A68,$A$13:$A$40)),0)),"")</f>
        <v/>
      </c>
      <c r="B69" s="148" t="str">
        <f t="shared" si="2"/>
        <v/>
      </c>
      <c r="C69" s="56" t="str">
        <f t="shared" si="4"/>
        <v/>
      </c>
      <c r="D69" s="56" t="str">
        <f t="shared" si="5"/>
        <v/>
      </c>
      <c r="E69" s="56" t="str">
        <f t="shared" si="3"/>
        <v/>
      </c>
    </row>
    <row r="70" spans="1:5" x14ac:dyDescent="0.25">
      <c r="A70" s="19" t="str" cm="1">
        <f t="array" ref="A70">IFERROR(INDEX($A$13:$A$40, MATCH(0,IF($A$13:$A$40="",1,COUNTIF($A$44:A69,$A$13:$A$40)),0)),"")</f>
        <v/>
      </c>
      <c r="B70" s="148" t="str">
        <f t="shared" si="2"/>
        <v/>
      </c>
      <c r="C70" s="56" t="str">
        <f t="shared" si="4"/>
        <v/>
      </c>
      <c r="D70" s="56" t="str">
        <f t="shared" si="5"/>
        <v/>
      </c>
      <c r="E70" s="56" t="str">
        <f t="shared" si="3"/>
        <v/>
      </c>
    </row>
    <row r="71" spans="1:5" x14ac:dyDescent="0.25">
      <c r="A71" s="19" t="str" cm="1">
        <f t="array" ref="A71">IFERROR(INDEX($A$13:$A$40, MATCH(0,IF($A$13:$A$40="",1,COUNTIF($A$44:A70,$A$13:$A$40)),0)),"")</f>
        <v/>
      </c>
      <c r="B71" s="148" t="str">
        <f t="shared" si="2"/>
        <v/>
      </c>
      <c r="C71" s="56" t="str">
        <f t="shared" si="4"/>
        <v/>
      </c>
      <c r="D71" s="56" t="str">
        <f t="shared" si="5"/>
        <v/>
      </c>
      <c r="E71" s="56" t="str">
        <f t="shared" si="3"/>
        <v/>
      </c>
    </row>
    <row r="72" spans="1:5" x14ac:dyDescent="0.25">
      <c r="A72" s="19"/>
      <c r="B72" s="148" t="str">
        <f t="shared" si="2"/>
        <v/>
      </c>
      <c r="C72" s="56" t="str">
        <f t="shared" si="4"/>
        <v/>
      </c>
      <c r="D72" s="56" t="str">
        <f t="shared" si="5"/>
        <v/>
      </c>
      <c r="E72" s="56" t="str">
        <f t="shared" si="3"/>
        <v/>
      </c>
    </row>
    <row r="73" spans="1:5" x14ac:dyDescent="0.25">
      <c r="A73" s="19"/>
      <c r="B73" s="148" t="str">
        <f t="shared" si="2"/>
        <v/>
      </c>
      <c r="C73" s="56" t="str">
        <f t="shared" si="4"/>
        <v/>
      </c>
      <c r="D73" s="56" t="str">
        <f t="shared" si="5"/>
        <v/>
      </c>
      <c r="E73" s="56" t="str">
        <f t="shared" si="3"/>
        <v/>
      </c>
    </row>
    <row r="74" spans="1:5" x14ac:dyDescent="0.25">
      <c r="A74" s="19"/>
      <c r="B74" s="148"/>
      <c r="C74" s="56"/>
      <c r="D74" s="56"/>
      <c r="E74" s="56"/>
    </row>
    <row r="75" spans="1:5" x14ac:dyDescent="0.25">
      <c r="A75" s="19"/>
      <c r="B75" s="148"/>
      <c r="C75" s="56"/>
      <c r="D75" s="56"/>
      <c r="E75" s="56"/>
    </row>
    <row r="76" spans="1:5" x14ac:dyDescent="0.25">
      <c r="B76" s="149"/>
    </row>
    <row r="77" spans="1:5" x14ac:dyDescent="0.25">
      <c r="B77" s="149"/>
    </row>
    <row r="78" spans="1:5" x14ac:dyDescent="0.25">
      <c r="B78" s="149"/>
    </row>
    <row r="79" spans="1:5" x14ac:dyDescent="0.25">
      <c r="B79" s="149"/>
    </row>
    <row r="80" spans="1:5" x14ac:dyDescent="0.25">
      <c r="B80" s="149"/>
    </row>
    <row r="81" spans="2:2" x14ac:dyDescent="0.25">
      <c r="B81" s="149"/>
    </row>
    <row r="82" spans="2:2" x14ac:dyDescent="0.25">
      <c r="B82" s="149"/>
    </row>
    <row r="83" spans="2:2" x14ac:dyDescent="0.25">
      <c r="B83" s="149"/>
    </row>
    <row r="84" spans="2:2" x14ac:dyDescent="0.25">
      <c r="B84" s="149"/>
    </row>
    <row r="85" spans="2:2" x14ac:dyDescent="0.25">
      <c r="B85" s="149"/>
    </row>
    <row r="86" spans="2:2" x14ac:dyDescent="0.25">
      <c r="B86" s="149"/>
    </row>
    <row r="87" spans="2:2" x14ac:dyDescent="0.25">
      <c r="B87" s="149"/>
    </row>
    <row r="88" spans="2:2" x14ac:dyDescent="0.25">
      <c r="B88" s="149"/>
    </row>
    <row r="89" spans="2:2" x14ac:dyDescent="0.25">
      <c r="B89" s="149"/>
    </row>
    <row r="90" spans="2:2" x14ac:dyDescent="0.25">
      <c r="B90" s="149"/>
    </row>
    <row r="91" spans="2:2" x14ac:dyDescent="0.25">
      <c r="B91" s="149"/>
    </row>
    <row r="92" spans="2:2" x14ac:dyDescent="0.25">
      <c r="B92" s="149"/>
    </row>
    <row r="93" spans="2:2" x14ac:dyDescent="0.25">
      <c r="B93" s="149"/>
    </row>
    <row r="94" spans="2:2" x14ac:dyDescent="0.25">
      <c r="B94" s="149"/>
    </row>
    <row r="95" spans="2:2" x14ac:dyDescent="0.25">
      <c r="B95" s="149"/>
    </row>
    <row r="96" spans="2:2" x14ac:dyDescent="0.25">
      <c r="B96" s="149"/>
    </row>
    <row r="97" spans="2:2" x14ac:dyDescent="0.25">
      <c r="B97" s="149"/>
    </row>
    <row r="98" spans="2:2" x14ac:dyDescent="0.25">
      <c r="B98" s="149"/>
    </row>
    <row r="99" spans="2:2" x14ac:dyDescent="0.25">
      <c r="B99" s="149"/>
    </row>
    <row r="100" spans="2:2" x14ac:dyDescent="0.25">
      <c r="B100" s="149"/>
    </row>
    <row r="101" spans="2:2" x14ac:dyDescent="0.25">
      <c r="B101" s="149"/>
    </row>
    <row r="102" spans="2:2" x14ac:dyDescent="0.25">
      <c r="B102" s="149"/>
    </row>
    <row r="103" spans="2:2" x14ac:dyDescent="0.25">
      <c r="B103" s="149"/>
    </row>
    <row r="104" spans="2:2" x14ac:dyDescent="0.25">
      <c r="B104" s="149"/>
    </row>
    <row r="105" spans="2:2" x14ac:dyDescent="0.25">
      <c r="B105" s="149"/>
    </row>
    <row r="106" spans="2:2" x14ac:dyDescent="0.25">
      <c r="B106" s="149"/>
    </row>
    <row r="107" spans="2:2" x14ac:dyDescent="0.25">
      <c r="B107" s="149"/>
    </row>
    <row r="108" spans="2:2" x14ac:dyDescent="0.25">
      <c r="B108" s="149"/>
    </row>
    <row r="109" spans="2:2" x14ac:dyDescent="0.25">
      <c r="B109" s="149"/>
    </row>
    <row r="110" spans="2:2" x14ac:dyDescent="0.25">
      <c r="B110" s="149"/>
    </row>
    <row r="111" spans="2:2" x14ac:dyDescent="0.25">
      <c r="B111" s="149"/>
    </row>
    <row r="112" spans="2:2" x14ac:dyDescent="0.25">
      <c r="B112" s="149"/>
    </row>
    <row r="113" spans="2:2" x14ac:dyDescent="0.25">
      <c r="B113" s="149"/>
    </row>
    <row r="114" spans="2:2" x14ac:dyDescent="0.25">
      <c r="B114" s="149"/>
    </row>
    <row r="115" spans="2:2" x14ac:dyDescent="0.25">
      <c r="B115" s="149"/>
    </row>
    <row r="116" spans="2:2" x14ac:dyDescent="0.25">
      <c r="B116" s="149"/>
    </row>
    <row r="117" spans="2:2" x14ac:dyDescent="0.25">
      <c r="B117" s="149"/>
    </row>
    <row r="118" spans="2:2" x14ac:dyDescent="0.25">
      <c r="B118" s="149"/>
    </row>
    <row r="119" spans="2:2" x14ac:dyDescent="0.25">
      <c r="B119" s="149"/>
    </row>
    <row r="120" spans="2:2" x14ac:dyDescent="0.25">
      <c r="B120" s="149"/>
    </row>
    <row r="121" spans="2:2" x14ac:dyDescent="0.25">
      <c r="B121" s="149"/>
    </row>
    <row r="122" spans="2:2" x14ac:dyDescent="0.25">
      <c r="B122" s="149"/>
    </row>
    <row r="123" spans="2:2" x14ac:dyDescent="0.25">
      <c r="B123" s="149"/>
    </row>
    <row r="124" spans="2:2" x14ac:dyDescent="0.25">
      <c r="B124" s="149"/>
    </row>
    <row r="125" spans="2:2" x14ac:dyDescent="0.25">
      <c r="B125" s="149"/>
    </row>
    <row r="126" spans="2:2" x14ac:dyDescent="0.25">
      <c r="B126" s="149"/>
    </row>
    <row r="127" spans="2:2" x14ac:dyDescent="0.25">
      <c r="B127" s="149"/>
    </row>
    <row r="128" spans="2:2" x14ac:dyDescent="0.25">
      <c r="B128" s="149"/>
    </row>
    <row r="129" spans="2:2" x14ac:dyDescent="0.25">
      <c r="B129" s="149"/>
    </row>
    <row r="130" spans="2:2" x14ac:dyDescent="0.25">
      <c r="B130" s="149"/>
    </row>
    <row r="131" spans="2:2" x14ac:dyDescent="0.25">
      <c r="B131" s="149"/>
    </row>
    <row r="132" spans="2:2" x14ac:dyDescent="0.25">
      <c r="B132" s="149"/>
    </row>
  </sheetData>
  <mergeCells count="2">
    <mergeCell ref="G11:I11"/>
    <mergeCell ref="C44:E44"/>
  </mergeCells>
  <conditionalFormatting sqref="A12 A45">
    <cfRule type="expression" dxfId="24" priority="59">
      <formula>$AA$1=2</formula>
    </cfRule>
  </conditionalFormatting>
  <conditionalFormatting sqref="A47:E75">
    <cfRule type="expression" dxfId="23" priority="4">
      <formula>$A47&lt;&gt;""</formula>
    </cfRule>
  </conditionalFormatting>
  <conditionalFormatting sqref="A13:H19">
    <cfRule type="expression" dxfId="22" priority="2">
      <formula>$AT$1=2</formula>
    </cfRule>
  </conditionalFormatting>
  <conditionalFormatting sqref="A20:H40 J20:J40 A46:E46">
    <cfRule type="expression" dxfId="21" priority="61">
      <formula>$AA$1=2</formula>
    </cfRule>
  </conditionalFormatting>
  <conditionalFormatting sqref="B12:J12 B45:E45">
    <cfRule type="expression" dxfId="20" priority="64">
      <formula>$AA$1=2</formula>
    </cfRule>
  </conditionalFormatting>
  <conditionalFormatting sqref="G11:I11 C41 C44">
    <cfRule type="expression" dxfId="19" priority="66">
      <formula>$AA$1=2</formula>
    </cfRule>
  </conditionalFormatting>
  <conditionalFormatting sqref="I13:I22 D41:I41">
    <cfRule type="expression" dxfId="18" priority="69">
      <formula>$AA$1=2</formula>
    </cfRule>
  </conditionalFormatting>
  <conditionalFormatting sqref="J13:J19">
    <cfRule type="expression" dxfId="17" priority="1">
      <formula>$Z$1=2</formula>
    </cfRule>
  </conditionalFormatting>
  <dataValidations count="2">
    <dataValidation type="list" allowBlank="1" showInputMessage="1" showErrorMessage="1" sqref="J23" xr:uid="{2253A806-1681-4865-ACAB-61DC04D150D4}">
      <formula1>$E$16:$G$16</formula1>
    </dataValidation>
    <dataValidation type="list" allowBlank="1" showInputMessage="1" showErrorMessage="1" errorTitle="COMPLETE BUDGET SUMMARY FIRST" error="Fund dropdown options are populated from the budget summary schedule tab. To show new funds in the dropdown, input the desired funds on the budget summary schedule tab." sqref="A13:A40" xr:uid="{853BBC5E-BABE-4400-AEF3-47453492FCBD}">
      <formula1>_xlfn.ANCHORARRAY($Z$1)</formula1>
    </dataValidation>
  </dataValidations>
  <pageMargins left="0" right="0" top="0.25" bottom="0.25" header="0.3" footer="0.3"/>
  <pageSetup scale="67" fitToHeight="0" orientation="landscape" verticalDpi="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xdr:col>
                    <xdr:colOff>400050</xdr:colOff>
                    <xdr:row>6</xdr:row>
                    <xdr:rowOff>0</xdr:rowOff>
                  </from>
                  <to>
                    <xdr:col>2</xdr:col>
                    <xdr:colOff>942975</xdr:colOff>
                    <xdr:row>7</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2</xdr:col>
                    <xdr:colOff>962025</xdr:colOff>
                    <xdr:row>6</xdr:row>
                    <xdr:rowOff>0</xdr:rowOff>
                  </from>
                  <to>
                    <xdr:col>2</xdr:col>
                    <xdr:colOff>1514475</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DB02BD9-CAE4-4C69-8FA9-3E8A2E2B965A}">
          <x14:formula1>
            <xm:f>FILTER_BRIDGE!$A$2:$A$7</xm:f>
          </x14:formula1>
          <xm:sqref>B20:B40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FD9C-7F14-4198-A623-32D731BDB3EA}">
  <sheetPr codeName="Sheet4">
    <tabColor rgb="FF9B2743"/>
    <pageSetUpPr fitToPage="1"/>
  </sheetPr>
  <dimension ref="A1:T62"/>
  <sheetViews>
    <sheetView zoomScaleNormal="100" workbookViewId="0"/>
  </sheetViews>
  <sheetFormatPr defaultRowHeight="15" x14ac:dyDescent="0.25"/>
  <cols>
    <col min="1" max="1" width="4.7109375" customWidth="1"/>
    <col min="2" max="2" width="2.7109375" customWidth="1"/>
    <col min="3" max="3" width="39.7109375" customWidth="1"/>
    <col min="4" max="16" width="12.7109375" customWidth="1"/>
    <col min="17" max="17" width="13.28515625" bestFit="1" customWidth="1"/>
    <col min="18" max="19" width="11.5703125" bestFit="1" customWidth="1"/>
    <col min="20" max="20" width="13.28515625" bestFit="1" customWidth="1"/>
  </cols>
  <sheetData>
    <row r="1" spans="1:20" ht="20.25" x14ac:dyDescent="0.25">
      <c r="A1" s="65" t="s">
        <v>122</v>
      </c>
      <c r="B1" s="65"/>
      <c r="C1" s="65"/>
    </row>
    <row r="2" spans="1:20" ht="18.75" x14ac:dyDescent="0.3">
      <c r="A2" s="64" t="str">
        <f ca="1">_xlfn.CONCAT("Budget Year | ", IF(MONTH(TODAY())&gt;8,YEAR(TODAY())+2,YEAR(TODAY())+1))</f>
        <v>Budget Year | 2026</v>
      </c>
      <c r="B2" s="64"/>
      <c r="C2" s="64"/>
    </row>
    <row r="4" spans="1:20" ht="20.25" x14ac:dyDescent="0.3">
      <c r="A4" s="151" t="str">
        <f>'Step 1) Budget Summary'!B4</f>
        <v>City of Pawnee</v>
      </c>
      <c r="B4" s="151"/>
      <c r="C4" s="70"/>
    </row>
    <row r="6" spans="1:20" ht="18.75" x14ac:dyDescent="0.3">
      <c r="A6" s="66" t="s">
        <v>137</v>
      </c>
      <c r="B6" s="66"/>
    </row>
    <row r="8" spans="1:20" x14ac:dyDescent="0.25">
      <c r="C8" s="104" t="s">
        <v>130</v>
      </c>
    </row>
    <row r="9" spans="1:20" ht="15.75" x14ac:dyDescent="0.25">
      <c r="C9" s="146" t="s">
        <v>7</v>
      </c>
    </row>
    <row r="11" spans="1:20" ht="18.75" x14ac:dyDescent="0.3">
      <c r="A11" s="66" t="s">
        <v>131</v>
      </c>
      <c r="B11" s="66"/>
      <c r="I11" s="153"/>
      <c r="J11" s="153"/>
      <c r="K11" s="153"/>
      <c r="L11" s="153"/>
      <c r="M11" s="153"/>
      <c r="N11" s="153"/>
      <c r="O11" s="153"/>
      <c r="P11" s="153"/>
      <c r="Q11" s="153"/>
      <c r="R11" s="153"/>
      <c r="S11" s="153"/>
      <c r="T11" s="153"/>
    </row>
    <row r="12" spans="1:20" s="3" customFormat="1" ht="15.75" x14ac:dyDescent="0.25">
      <c r="A12" s="78" t="s">
        <v>132</v>
      </c>
      <c r="B12" s="78"/>
      <c r="C12" s="106"/>
    </row>
    <row r="13" spans="1:20" s="3" customFormat="1" ht="15.75" x14ac:dyDescent="0.25">
      <c r="C13" s="106"/>
    </row>
    <row r="14" spans="1:20" s="3" customFormat="1" x14ac:dyDescent="0.25">
      <c r="D14" s="69" t="str">
        <f ca="1">_xlfn.CONCAT("Beginning Budget Year ", IF(MONTH(TODAY())&gt;8,YEAR(TODAY())+2,YEAR(TODAY())+1), " Cash : ")</f>
        <v xml:space="preserve">Beginning Budget Year 2026 Cash : </v>
      </c>
      <c r="E14" s="80">
        <v>10665389</v>
      </c>
    </row>
    <row r="15" spans="1:20" s="3" customFormat="1" x14ac:dyDescent="0.25">
      <c r="D15" s="69" t="str">
        <f ca="1">_xlfn.CONCAT("Budget Year ", IF(MONTH(TODAY())&gt;8,YEAR(TODAY())+2,YEAR(TODAY())+1), " Projected Operating Revenues : ")</f>
        <v xml:space="preserve">Budget Year 2026 Projected Operating Revenues : </v>
      </c>
      <c r="E15" s="102">
        <v>8712341</v>
      </c>
    </row>
    <row r="16" spans="1:20" s="3" customFormat="1" x14ac:dyDescent="0.25">
      <c r="D16" s="69" t="str">
        <f ca="1">_xlfn.CONCAT("Budget Year ", IF(MONTH(TODAY())&gt;8,YEAR(TODAY())+2,YEAR(TODAY())+1), " Forecasted Operating Expenses : ")</f>
        <v xml:space="preserve">Budget Year 2026 Forecasted Operating Expenses : </v>
      </c>
      <c r="E16" s="103">
        <v>7013483</v>
      </c>
    </row>
    <row r="17" spans="1:16" s="3" customFormat="1" ht="15.75" x14ac:dyDescent="0.25">
      <c r="C17" s="106"/>
    </row>
    <row r="18" spans="1:16" s="3" customFormat="1" ht="18.75" x14ac:dyDescent="0.3">
      <c r="A18" s="66" t="s">
        <v>170</v>
      </c>
      <c r="B18" s="66"/>
      <c r="C18" s="106"/>
    </row>
    <row r="19" spans="1:16" s="3" customFormat="1" ht="15.75" x14ac:dyDescent="0.25">
      <c r="A19" s="78" t="s">
        <v>117</v>
      </c>
      <c r="B19" s="78"/>
      <c r="C19" s="106"/>
    </row>
    <row r="20" spans="1:16" s="3" customFormat="1" ht="15.75" x14ac:dyDescent="0.25">
      <c r="C20" s="106"/>
      <c r="D20" s="212" t="str">
        <f ca="1">_xlfn.CONCAT(C9, " | Current Fiscal Year | ", (IF(MONTH(TODAY())&gt;8,YEAR(TODAY())+2,YEAR(TODAY())+1))-1)</f>
        <v>General Fund | Current Fiscal Year | 2025</v>
      </c>
      <c r="E20" s="212"/>
      <c r="F20" s="212"/>
      <c r="G20" s="212"/>
      <c r="H20" s="212"/>
      <c r="I20" s="212"/>
      <c r="J20" s="212"/>
      <c r="K20" s="212"/>
      <c r="L20" s="212"/>
      <c r="M20" s="212"/>
      <c r="N20" s="212"/>
      <c r="O20" s="212"/>
    </row>
    <row r="21" spans="1:16" s="3" customFormat="1" x14ac:dyDescent="0.25">
      <c r="A21" s="108"/>
      <c r="B21" s="108"/>
      <c r="C21" s="108"/>
      <c r="D21" s="105" t="s">
        <v>56</v>
      </c>
      <c r="E21" s="105" t="s">
        <v>57</v>
      </c>
      <c r="F21" s="105" t="s">
        <v>58</v>
      </c>
      <c r="G21" s="105" t="s">
        <v>59</v>
      </c>
      <c r="H21" s="105" t="s">
        <v>60</v>
      </c>
      <c r="I21" s="105" t="s">
        <v>61</v>
      </c>
      <c r="J21" s="105" t="s">
        <v>62</v>
      </c>
      <c r="K21" s="105" t="s">
        <v>63</v>
      </c>
      <c r="L21" s="105" t="s">
        <v>64</v>
      </c>
      <c r="M21" s="105" t="s">
        <v>65</v>
      </c>
      <c r="N21" s="105" t="s">
        <v>66</v>
      </c>
      <c r="O21" s="105" t="s">
        <v>67</v>
      </c>
      <c r="P21" s="140" t="s">
        <v>91</v>
      </c>
    </row>
    <row r="22" spans="1:16" s="3" customFormat="1" x14ac:dyDescent="0.25">
      <c r="B22" s="110"/>
      <c r="C22" s="112" t="s">
        <v>12</v>
      </c>
      <c r="D22" s="110"/>
      <c r="E22" s="110"/>
      <c r="F22" s="110"/>
      <c r="G22" s="110"/>
      <c r="H22" s="110"/>
      <c r="I22" s="110"/>
      <c r="J22" s="111"/>
      <c r="K22" s="111"/>
      <c r="L22" s="111"/>
      <c r="M22" s="111"/>
      <c r="N22" s="110"/>
      <c r="O22" s="110"/>
      <c r="P22" s="109"/>
    </row>
    <row r="23" spans="1:16" s="3" customFormat="1" x14ac:dyDescent="0.25">
      <c r="C23" s="69" t="s">
        <v>162</v>
      </c>
      <c r="D23" s="178">
        <v>356568.25</v>
      </c>
      <c r="E23" s="179">
        <v>436212.25</v>
      </c>
      <c r="F23" s="179">
        <v>289032.25</v>
      </c>
      <c r="G23" s="179">
        <v>688133.25</v>
      </c>
      <c r="H23" s="179">
        <v>566843.25</v>
      </c>
      <c r="I23" s="179">
        <v>1170168.25</v>
      </c>
      <c r="J23" s="179">
        <v>890429.25</v>
      </c>
      <c r="K23" s="179">
        <v>1831807.25</v>
      </c>
      <c r="L23" s="179">
        <v>1263176.25</v>
      </c>
      <c r="M23" s="179">
        <v>110991.25</v>
      </c>
      <c r="N23" s="179">
        <v>443485.25</v>
      </c>
      <c r="O23" s="180">
        <v>874454.25</v>
      </c>
      <c r="P23" s="181">
        <f>SUM(D23:O23)</f>
        <v>8921301</v>
      </c>
    </row>
    <row r="24" spans="1:16" s="3" customFormat="1" x14ac:dyDescent="0.25">
      <c r="C24" s="183" t="s">
        <v>163</v>
      </c>
      <c r="D24" s="22"/>
      <c r="E24" s="22"/>
      <c r="F24" s="22"/>
      <c r="G24" s="22"/>
      <c r="H24" s="22"/>
      <c r="I24" s="22"/>
      <c r="J24" s="22"/>
      <c r="K24" s="22"/>
      <c r="L24" s="22"/>
      <c r="M24" s="22"/>
      <c r="N24" s="22"/>
      <c r="O24" s="22"/>
      <c r="P24" s="184"/>
    </row>
    <row r="25" spans="1:16" s="3" customFormat="1" x14ac:dyDescent="0.25">
      <c r="C25" s="69" t="s">
        <v>89</v>
      </c>
      <c r="D25" s="136">
        <v>0</v>
      </c>
      <c r="E25" s="137">
        <v>0</v>
      </c>
      <c r="F25" s="137">
        <v>0</v>
      </c>
      <c r="G25" s="137">
        <v>0</v>
      </c>
      <c r="H25" s="137">
        <v>0</v>
      </c>
      <c r="I25" s="137">
        <v>0</v>
      </c>
      <c r="J25" s="137">
        <v>0</v>
      </c>
      <c r="K25" s="137">
        <v>0</v>
      </c>
      <c r="L25" s="137">
        <v>0</v>
      </c>
      <c r="M25" s="137">
        <v>0</v>
      </c>
      <c r="N25" s="137">
        <v>0</v>
      </c>
      <c r="O25" s="169">
        <v>0</v>
      </c>
      <c r="P25" s="98">
        <f>SUM(D25:O25)</f>
        <v>0</v>
      </c>
    </row>
    <row r="26" spans="1:16" s="3" customFormat="1" x14ac:dyDescent="0.25">
      <c r="C26" s="69" t="s">
        <v>109</v>
      </c>
      <c r="D26" s="138">
        <v>0</v>
      </c>
      <c r="E26" s="139">
        <v>0</v>
      </c>
      <c r="F26" s="139">
        <v>0</v>
      </c>
      <c r="G26" s="139">
        <v>80000</v>
      </c>
      <c r="H26" s="139">
        <v>0</v>
      </c>
      <c r="I26" s="139">
        <v>0</v>
      </c>
      <c r="J26" s="139">
        <v>0</v>
      </c>
      <c r="K26" s="139">
        <v>0</v>
      </c>
      <c r="L26" s="139">
        <v>0</v>
      </c>
      <c r="M26" s="139">
        <v>0</v>
      </c>
      <c r="N26" s="139">
        <v>0</v>
      </c>
      <c r="O26" s="170">
        <v>0</v>
      </c>
      <c r="P26" s="98">
        <f>SUM(D26:O26)</f>
        <v>80000</v>
      </c>
    </row>
    <row r="27" spans="1:16" s="3" customFormat="1" x14ac:dyDescent="0.25">
      <c r="C27" s="174" t="s">
        <v>110</v>
      </c>
      <c r="D27" s="141">
        <v>31266</v>
      </c>
      <c r="E27" s="142">
        <v>31266</v>
      </c>
      <c r="F27" s="142">
        <v>31266</v>
      </c>
      <c r="G27" s="142">
        <v>31266</v>
      </c>
      <c r="H27" s="142">
        <v>31266</v>
      </c>
      <c r="I27" s="142">
        <v>31266</v>
      </c>
      <c r="J27" s="142">
        <v>31266</v>
      </c>
      <c r="K27" s="142">
        <v>31266</v>
      </c>
      <c r="L27" s="142">
        <v>31266</v>
      </c>
      <c r="M27" s="142">
        <v>31266</v>
      </c>
      <c r="N27" s="142">
        <v>31266</v>
      </c>
      <c r="O27" s="171">
        <v>31266</v>
      </c>
      <c r="P27" s="98">
        <f>SUM(D27:O27)</f>
        <v>375192</v>
      </c>
    </row>
    <row r="28" spans="1:16" s="3" customFormat="1" x14ac:dyDescent="0.25">
      <c r="C28" s="69" t="s">
        <v>165</v>
      </c>
      <c r="D28" s="144">
        <f>SUM(D25:D27)</f>
        <v>31266</v>
      </c>
      <c r="E28" s="144">
        <f t="shared" ref="E28:O28" si="0">SUM(E25:E27)</f>
        <v>31266</v>
      </c>
      <c r="F28" s="144">
        <f t="shared" si="0"/>
        <v>31266</v>
      </c>
      <c r="G28" s="144">
        <f t="shared" si="0"/>
        <v>111266</v>
      </c>
      <c r="H28" s="144">
        <f t="shared" si="0"/>
        <v>31266</v>
      </c>
      <c r="I28" s="144">
        <f t="shared" si="0"/>
        <v>31266</v>
      </c>
      <c r="J28" s="144">
        <f t="shared" si="0"/>
        <v>31266</v>
      </c>
      <c r="K28" s="144">
        <f t="shared" si="0"/>
        <v>31266</v>
      </c>
      <c r="L28" s="144">
        <f t="shared" si="0"/>
        <v>31266</v>
      </c>
      <c r="M28" s="144">
        <f t="shared" si="0"/>
        <v>31266</v>
      </c>
      <c r="N28" s="144">
        <f t="shared" si="0"/>
        <v>31266</v>
      </c>
      <c r="O28" s="144">
        <f t="shared" si="0"/>
        <v>31266</v>
      </c>
      <c r="P28" s="176">
        <f>SUM(D28:O28)</f>
        <v>455192</v>
      </c>
    </row>
    <row r="29" spans="1:16" s="3" customFormat="1" x14ac:dyDescent="0.25">
      <c r="C29" s="182" t="s">
        <v>164</v>
      </c>
      <c r="D29" s="173">
        <f>D23-D28</f>
        <v>325302.25</v>
      </c>
      <c r="E29" s="173">
        <f t="shared" ref="E29:O29" si="1">E23-E28</f>
        <v>404946.25</v>
      </c>
      <c r="F29" s="173">
        <f t="shared" si="1"/>
        <v>257766.25</v>
      </c>
      <c r="G29" s="173">
        <f t="shared" si="1"/>
        <v>576867.25</v>
      </c>
      <c r="H29" s="173">
        <f t="shared" si="1"/>
        <v>535577.25</v>
      </c>
      <c r="I29" s="173">
        <f t="shared" si="1"/>
        <v>1138902.25</v>
      </c>
      <c r="J29" s="173">
        <f t="shared" si="1"/>
        <v>859163.25</v>
      </c>
      <c r="K29" s="173">
        <f t="shared" si="1"/>
        <v>1800541.25</v>
      </c>
      <c r="L29" s="173">
        <f t="shared" si="1"/>
        <v>1231910.25</v>
      </c>
      <c r="M29" s="173">
        <f t="shared" si="1"/>
        <v>79725.25</v>
      </c>
      <c r="N29" s="173">
        <f t="shared" si="1"/>
        <v>412219.25</v>
      </c>
      <c r="O29" s="173">
        <f t="shared" si="1"/>
        <v>843188.25</v>
      </c>
      <c r="P29" s="99">
        <f>SUM(D29:O29)</f>
        <v>8466109</v>
      </c>
    </row>
    <row r="30" spans="1:16" s="3" customFormat="1" ht="15.75" thickBot="1" x14ac:dyDescent="0.3">
      <c r="B30" s="177"/>
      <c r="C30" s="186" t="s">
        <v>174</v>
      </c>
      <c r="D30" s="187">
        <f>D29/$P$29</f>
        <v>3.8424056434898254E-2</v>
      </c>
      <c r="E30" s="187">
        <f t="shared" ref="E30:O30" si="2">E29/$P$29</f>
        <v>4.7831447717009076E-2</v>
      </c>
      <c r="F30" s="187">
        <f t="shared" si="2"/>
        <v>3.0446838092918482E-2</v>
      </c>
      <c r="G30" s="187">
        <f t="shared" si="2"/>
        <v>6.8138415179865977E-2</v>
      </c>
      <c r="H30" s="187">
        <f t="shared" si="2"/>
        <v>6.3261322291031222E-2</v>
      </c>
      <c r="I30" s="187">
        <f t="shared" si="2"/>
        <v>0.13452487441397223</v>
      </c>
      <c r="J30" s="187">
        <f t="shared" si="2"/>
        <v>0.10148265868062885</v>
      </c>
      <c r="K30" s="187">
        <f t="shared" si="2"/>
        <v>0.21267636053351074</v>
      </c>
      <c r="L30" s="187">
        <f t="shared" si="2"/>
        <v>0.1455107948645594</v>
      </c>
      <c r="M30" s="187">
        <f t="shared" si="2"/>
        <v>9.4169883709269517E-3</v>
      </c>
      <c r="N30" s="187">
        <f t="shared" si="2"/>
        <v>4.8690520048820539E-2</v>
      </c>
      <c r="O30" s="188">
        <f t="shared" si="2"/>
        <v>9.9595723371858305E-2</v>
      </c>
      <c r="P30" s="165"/>
    </row>
    <row r="31" spans="1:16" s="3" customFormat="1" ht="15.75" thickTop="1" x14ac:dyDescent="0.25">
      <c r="C31" s="172"/>
      <c r="D31" s="185"/>
      <c r="E31" s="185"/>
      <c r="F31" s="185"/>
      <c r="G31" s="185"/>
      <c r="H31" s="185"/>
      <c r="I31" s="185"/>
      <c r="J31" s="185"/>
      <c r="K31" s="185"/>
      <c r="L31" s="185"/>
      <c r="M31" s="185"/>
      <c r="N31" s="185"/>
      <c r="O31" s="185"/>
    </row>
    <row r="32" spans="1:16" s="3" customFormat="1" x14ac:dyDescent="0.25">
      <c r="B32" s="110"/>
      <c r="C32" s="112" t="s">
        <v>13</v>
      </c>
      <c r="D32" s="110"/>
      <c r="E32" s="110"/>
      <c r="F32" s="110"/>
      <c r="G32" s="110"/>
      <c r="H32" s="110"/>
      <c r="I32" s="110"/>
      <c r="J32" s="111"/>
      <c r="K32" s="111"/>
      <c r="L32" s="111"/>
      <c r="M32" s="111"/>
      <c r="N32" s="110"/>
      <c r="O32" s="110"/>
      <c r="P32" s="107"/>
    </row>
    <row r="33" spans="1:16" s="3" customFormat="1" x14ac:dyDescent="0.25">
      <c r="C33" s="69" t="s">
        <v>166</v>
      </c>
      <c r="D33" s="178">
        <v>541480</v>
      </c>
      <c r="E33" s="179">
        <v>559547</v>
      </c>
      <c r="F33" s="179">
        <v>574155</v>
      </c>
      <c r="G33" s="179">
        <v>560580</v>
      </c>
      <c r="H33" s="179">
        <v>546745</v>
      </c>
      <c r="I33" s="179">
        <v>709596</v>
      </c>
      <c r="J33" s="179">
        <v>562205</v>
      </c>
      <c r="K33" s="179">
        <v>619188</v>
      </c>
      <c r="L33" s="179">
        <v>667899</v>
      </c>
      <c r="M33" s="179">
        <v>607475</v>
      </c>
      <c r="N33" s="179">
        <v>690619</v>
      </c>
      <c r="O33" s="180">
        <v>511161</v>
      </c>
      <c r="P33" s="181">
        <f>SUM(D33:O33)</f>
        <v>7150650</v>
      </c>
    </row>
    <row r="34" spans="1:16" s="3" customFormat="1" x14ac:dyDescent="0.25">
      <c r="C34" s="183" t="s">
        <v>167</v>
      </c>
      <c r="D34" s="22"/>
      <c r="E34" s="22"/>
      <c r="F34" s="22"/>
      <c r="G34" s="22"/>
      <c r="H34" s="22"/>
      <c r="I34" s="22"/>
      <c r="J34" s="22"/>
      <c r="K34" s="22"/>
      <c r="L34" s="22"/>
      <c r="M34" s="22"/>
      <c r="N34" s="22"/>
      <c r="O34" s="22"/>
      <c r="P34" s="184"/>
    </row>
    <row r="35" spans="1:16" s="3" customFormat="1" x14ac:dyDescent="0.25">
      <c r="C35" s="69" t="s">
        <v>111</v>
      </c>
      <c r="D35" s="136">
        <v>0</v>
      </c>
      <c r="E35" s="137">
        <v>0</v>
      </c>
      <c r="F35" s="137">
        <v>0</v>
      </c>
      <c r="G35" s="137">
        <v>0</v>
      </c>
      <c r="H35" s="137">
        <v>0</v>
      </c>
      <c r="I35" s="137">
        <v>0</v>
      </c>
      <c r="J35" s="137">
        <v>0</v>
      </c>
      <c r="K35" s="137">
        <v>0</v>
      </c>
      <c r="L35" s="137">
        <v>120000</v>
      </c>
      <c r="M35" s="137">
        <v>0</v>
      </c>
      <c r="N35" s="137">
        <v>0</v>
      </c>
      <c r="O35" s="169">
        <v>0</v>
      </c>
      <c r="P35" s="98">
        <f>SUM(D35:O35)</f>
        <v>120000</v>
      </c>
    </row>
    <row r="36" spans="1:16" s="3" customFormat="1" x14ac:dyDescent="0.25">
      <c r="C36" s="69" t="s">
        <v>112</v>
      </c>
      <c r="D36" s="138">
        <v>0</v>
      </c>
      <c r="E36" s="139">
        <v>0</v>
      </c>
      <c r="F36" s="139">
        <v>0</v>
      </c>
      <c r="G36" s="139">
        <v>0</v>
      </c>
      <c r="H36" s="139">
        <v>0</v>
      </c>
      <c r="I36" s="139">
        <v>0</v>
      </c>
      <c r="J36" s="139">
        <v>50000</v>
      </c>
      <c r="K36" s="139">
        <v>0</v>
      </c>
      <c r="L36" s="139">
        <v>0</v>
      </c>
      <c r="M36" s="139">
        <v>0</v>
      </c>
      <c r="N36" s="139">
        <v>0</v>
      </c>
      <c r="O36" s="170">
        <v>0</v>
      </c>
      <c r="P36" s="98">
        <f>SUM(D36:O36)</f>
        <v>50000</v>
      </c>
    </row>
    <row r="37" spans="1:16" s="3" customFormat="1" x14ac:dyDescent="0.25">
      <c r="C37" s="174" t="s">
        <v>113</v>
      </c>
      <c r="D37" s="141">
        <v>0</v>
      </c>
      <c r="E37" s="142">
        <v>0</v>
      </c>
      <c r="F37" s="142">
        <v>0</v>
      </c>
      <c r="G37" s="142">
        <v>0</v>
      </c>
      <c r="H37" s="142">
        <v>0</v>
      </c>
      <c r="I37" s="142">
        <v>0</v>
      </c>
      <c r="J37" s="142">
        <v>0</v>
      </c>
      <c r="K37" s="142">
        <v>0</v>
      </c>
      <c r="L37" s="142">
        <v>0</v>
      </c>
      <c r="M37" s="142">
        <v>0</v>
      </c>
      <c r="N37" s="142">
        <v>0</v>
      </c>
      <c r="O37" s="171">
        <v>0</v>
      </c>
      <c r="P37" s="98">
        <f>SUM(D37:O37)</f>
        <v>0</v>
      </c>
    </row>
    <row r="38" spans="1:16" s="3" customFormat="1" x14ac:dyDescent="0.25">
      <c r="C38" s="69" t="s">
        <v>168</v>
      </c>
      <c r="D38" s="144">
        <f>SUM(D35:D37)</f>
        <v>0</v>
      </c>
      <c r="E38" s="144">
        <f t="shared" ref="E38:O38" si="3">SUM(E35:E37)</f>
        <v>0</v>
      </c>
      <c r="F38" s="144">
        <f t="shared" si="3"/>
        <v>0</v>
      </c>
      <c r="G38" s="144">
        <f t="shared" si="3"/>
        <v>0</v>
      </c>
      <c r="H38" s="144">
        <f t="shared" si="3"/>
        <v>0</v>
      </c>
      <c r="I38" s="144">
        <f t="shared" si="3"/>
        <v>0</v>
      </c>
      <c r="J38" s="144">
        <f t="shared" si="3"/>
        <v>50000</v>
      </c>
      <c r="K38" s="144">
        <f t="shared" si="3"/>
        <v>0</v>
      </c>
      <c r="L38" s="144">
        <f t="shared" si="3"/>
        <v>120000</v>
      </c>
      <c r="M38" s="144">
        <f t="shared" si="3"/>
        <v>0</v>
      </c>
      <c r="N38" s="144">
        <f t="shared" si="3"/>
        <v>0</v>
      </c>
      <c r="O38" s="144">
        <f t="shared" si="3"/>
        <v>0</v>
      </c>
      <c r="P38" s="176">
        <f>SUM(D38:O38)</f>
        <v>170000</v>
      </c>
    </row>
    <row r="39" spans="1:16" s="3" customFormat="1" x14ac:dyDescent="0.25">
      <c r="C39" s="182" t="s">
        <v>169</v>
      </c>
      <c r="D39" s="173">
        <f>D33-D38</f>
        <v>541480</v>
      </c>
      <c r="E39" s="173">
        <f t="shared" ref="E39:O39" si="4">E33-E38</f>
        <v>559547</v>
      </c>
      <c r="F39" s="173">
        <f t="shared" si="4"/>
        <v>574155</v>
      </c>
      <c r="G39" s="173">
        <f t="shared" si="4"/>
        <v>560580</v>
      </c>
      <c r="H39" s="173">
        <f t="shared" si="4"/>
        <v>546745</v>
      </c>
      <c r="I39" s="173">
        <f t="shared" si="4"/>
        <v>709596</v>
      </c>
      <c r="J39" s="173">
        <f t="shared" si="4"/>
        <v>512205</v>
      </c>
      <c r="K39" s="173">
        <f t="shared" si="4"/>
        <v>619188</v>
      </c>
      <c r="L39" s="173">
        <f t="shared" si="4"/>
        <v>547899</v>
      </c>
      <c r="M39" s="173">
        <f t="shared" si="4"/>
        <v>607475</v>
      </c>
      <c r="N39" s="173">
        <f t="shared" si="4"/>
        <v>690619</v>
      </c>
      <c r="O39" s="173">
        <f t="shared" si="4"/>
        <v>511161</v>
      </c>
      <c r="P39" s="99">
        <f>SUM(D39:O39)</f>
        <v>6980650</v>
      </c>
    </row>
    <row r="40" spans="1:16" s="3" customFormat="1" ht="15.75" thickBot="1" x14ac:dyDescent="0.3">
      <c r="A40" s="175"/>
      <c r="B40" s="177"/>
      <c r="C40" s="186" t="s">
        <v>175</v>
      </c>
      <c r="D40" s="187">
        <f>D39/$P$39</f>
        <v>7.7568707785091645E-2</v>
      </c>
      <c r="E40" s="187">
        <f t="shared" ref="E40:O40" si="5">E39/$P$39</f>
        <v>8.0156862183321034E-2</v>
      </c>
      <c r="F40" s="187">
        <f t="shared" si="5"/>
        <v>8.2249503986018491E-2</v>
      </c>
      <c r="G40" s="187">
        <f t="shared" si="5"/>
        <v>8.0304842672243984E-2</v>
      </c>
      <c r="H40" s="187">
        <f t="shared" si="5"/>
        <v>7.8322935543251704E-2</v>
      </c>
      <c r="I40" s="187">
        <f t="shared" si="5"/>
        <v>0.10165185190490857</v>
      </c>
      <c r="J40" s="187">
        <f t="shared" si="5"/>
        <v>7.3374972244705003E-2</v>
      </c>
      <c r="K40" s="187">
        <f t="shared" si="5"/>
        <v>8.8700622434873547E-2</v>
      </c>
      <c r="L40" s="187">
        <f t="shared" si="5"/>
        <v>7.8488249661564466E-2</v>
      </c>
      <c r="M40" s="187">
        <f t="shared" si="5"/>
        <v>8.7022698459312528E-2</v>
      </c>
      <c r="N40" s="187">
        <f t="shared" si="5"/>
        <v>9.8933337153416942E-2</v>
      </c>
      <c r="O40" s="188">
        <f t="shared" si="5"/>
        <v>7.3225415971292077E-2</v>
      </c>
      <c r="P40" s="165"/>
    </row>
    <row r="41" spans="1:16" s="3" customFormat="1" ht="16.5" thickTop="1" x14ac:dyDescent="0.25">
      <c r="C41" s="106"/>
    </row>
    <row r="42" spans="1:16" s="3" customFormat="1" ht="18.75" x14ac:dyDescent="0.3">
      <c r="A42" s="66" t="s">
        <v>171</v>
      </c>
      <c r="B42" s="66"/>
      <c r="C42" s="106"/>
    </row>
    <row r="43" spans="1:16" s="3" customFormat="1" ht="15.75" x14ac:dyDescent="0.25">
      <c r="A43" s="143" t="s">
        <v>118</v>
      </c>
      <c r="B43" s="143"/>
      <c r="C43" s="106"/>
    </row>
    <row r="44" spans="1:16" s="3" customFormat="1" ht="15.75" x14ac:dyDescent="0.25">
      <c r="C44" s="106"/>
      <c r="D44" s="213" t="str">
        <f ca="1">_xlfn.CONCAT(C9, " | Budget Year | ", (IF(MONTH(TODAY())&gt;8,YEAR(TODAY())+2,YEAR(TODAY())+1)))</f>
        <v>General Fund | Budget Year | 2026</v>
      </c>
      <c r="E44" s="213"/>
      <c r="F44" s="213"/>
      <c r="G44" s="213"/>
      <c r="H44" s="213"/>
      <c r="I44" s="213"/>
      <c r="J44" s="213"/>
      <c r="K44" s="213"/>
      <c r="L44" s="213"/>
      <c r="M44" s="213"/>
      <c r="N44" s="213"/>
      <c r="O44" s="213"/>
      <c r="P44" s="135"/>
    </row>
    <row r="45" spans="1:16" s="3" customFormat="1" x14ac:dyDescent="0.25">
      <c r="A45" s="108"/>
      <c r="B45" s="108"/>
      <c r="C45" s="108"/>
      <c r="D45" s="105" t="s">
        <v>56</v>
      </c>
      <c r="E45" s="105" t="s">
        <v>57</v>
      </c>
      <c r="F45" s="105" t="s">
        <v>58</v>
      </c>
      <c r="G45" s="105" t="s">
        <v>59</v>
      </c>
      <c r="H45" s="105" t="s">
        <v>60</v>
      </c>
      <c r="I45" s="105" t="s">
        <v>61</v>
      </c>
      <c r="J45" s="105" t="s">
        <v>62</v>
      </c>
      <c r="K45" s="105" t="s">
        <v>63</v>
      </c>
      <c r="L45" s="105" t="s">
        <v>64</v>
      </c>
      <c r="M45" s="105" t="s">
        <v>65</v>
      </c>
      <c r="N45" s="105" t="s">
        <v>66</v>
      </c>
      <c r="O45" s="105" t="s">
        <v>67</v>
      </c>
      <c r="P45" s="105" t="s">
        <v>91</v>
      </c>
    </row>
    <row r="46" spans="1:16" s="3" customFormat="1" x14ac:dyDescent="0.25">
      <c r="A46" s="109" t="s">
        <v>83</v>
      </c>
      <c r="B46" s="109"/>
      <c r="C46" s="109"/>
      <c r="D46" s="114">
        <f>E14</f>
        <v>10665389</v>
      </c>
      <c r="E46" s="114">
        <f>D59</f>
        <v>10456125.66888137</v>
      </c>
      <c r="F46" s="114">
        <f t="shared" ref="F46:O46" si="6">E59</f>
        <v>10610670.761659561</v>
      </c>
      <c r="G46" s="114">
        <f t="shared" si="6"/>
        <v>10299078.499532484</v>
      </c>
      <c r="H46" s="114">
        <f t="shared" si="6"/>
        <v>10329506.958879594</v>
      </c>
      <c r="I46" s="114">
        <f t="shared" si="6"/>
        <v>10331344.593847267</v>
      </c>
      <c r="J46" s="114">
        <f t="shared" si="6"/>
        <v>10640437.637470374</v>
      </c>
      <c r="K46" s="114">
        <f t="shared" si="6"/>
        <v>11009975.045018911</v>
      </c>
      <c r="L46" s="114">
        <f t="shared" si="6"/>
        <v>12240783.713089395</v>
      </c>
      <c r="M46" s="114">
        <f t="shared" si="6"/>
        <v>12908047.372429349</v>
      </c>
      <c r="N46" s="114">
        <f t="shared" si="6"/>
        <v>12379759.170051385</v>
      </c>
      <c r="O46" s="114">
        <f t="shared" si="6"/>
        <v>12110100.305925289</v>
      </c>
      <c r="P46" s="121">
        <f>D46</f>
        <v>10665389</v>
      </c>
    </row>
    <row r="47" spans="1:16" s="3" customFormat="1" x14ac:dyDescent="0.25">
      <c r="C47" s="112" t="s">
        <v>85</v>
      </c>
      <c r="D47" s="110"/>
      <c r="E47" s="110"/>
      <c r="F47" s="110"/>
      <c r="G47" s="110"/>
      <c r="H47" s="110"/>
      <c r="I47" s="110"/>
      <c r="J47" s="111"/>
      <c r="K47" s="111"/>
      <c r="L47" s="111"/>
      <c r="M47" s="111"/>
      <c r="N47" s="110"/>
      <c r="O47" s="110"/>
      <c r="P47" s="122"/>
    </row>
    <row r="48" spans="1:16" s="3" customFormat="1" x14ac:dyDescent="0.25">
      <c r="C48" s="69" t="s">
        <v>115</v>
      </c>
      <c r="D48" s="126">
        <f>$E$15*D30</f>
        <v>334763.48226407787</v>
      </c>
      <c r="E48" s="117">
        <f>$E$15*E30</f>
        <v>416723.8830342546</v>
      </c>
      <c r="F48" s="117">
        <f t="shared" ref="F48:O48" si="7">$E$15*F30</f>
        <v>265263.23583729548</v>
      </c>
      <c r="G48" s="117">
        <f t="shared" si="7"/>
        <v>593645.10824656871</v>
      </c>
      <c r="H48" s="117">
        <f t="shared" si="7"/>
        <v>551154.21191036527</v>
      </c>
      <c r="I48" s="117">
        <f t="shared" si="7"/>
        <v>1172026.5788767012</v>
      </c>
      <c r="J48" s="117">
        <f t="shared" si="7"/>
        <v>884151.52801224857</v>
      </c>
      <c r="K48" s="117">
        <f t="shared" si="7"/>
        <v>1852908.9756068876</v>
      </c>
      <c r="L48" s="117">
        <f t="shared" si="7"/>
        <v>1267739.6640410903</v>
      </c>
      <c r="M48" s="117">
        <f t="shared" si="7"/>
        <v>82044.01388055009</v>
      </c>
      <c r="N48" s="117">
        <f t="shared" si="7"/>
        <v>424208.41413266119</v>
      </c>
      <c r="O48" s="117">
        <f t="shared" si="7"/>
        <v>867711.90415729932</v>
      </c>
      <c r="P48" s="123">
        <f>E15</f>
        <v>8712341</v>
      </c>
    </row>
    <row r="49" spans="1:16" s="3" customFormat="1" x14ac:dyDescent="0.25">
      <c r="C49" s="69" t="s">
        <v>89</v>
      </c>
      <c r="D49" s="138"/>
      <c r="E49" s="139"/>
      <c r="F49" s="139"/>
      <c r="G49" s="139"/>
      <c r="H49" s="139"/>
      <c r="I49" s="139"/>
      <c r="J49" s="139"/>
      <c r="K49" s="139"/>
      <c r="L49" s="139"/>
      <c r="M49" s="139"/>
      <c r="N49" s="139"/>
      <c r="O49" s="139"/>
      <c r="P49" s="98">
        <f>SUM(D49:O49)</f>
        <v>0</v>
      </c>
    </row>
    <row r="50" spans="1:16" s="3" customFormat="1" x14ac:dyDescent="0.25">
      <c r="C50" s="69" t="s">
        <v>109</v>
      </c>
      <c r="D50" s="138"/>
      <c r="E50" s="139">
        <v>300000</v>
      </c>
      <c r="F50" s="139"/>
      <c r="G50" s="139"/>
      <c r="H50" s="139"/>
      <c r="I50" s="139"/>
      <c r="J50" s="139"/>
      <c r="K50" s="139"/>
      <c r="L50" s="139"/>
      <c r="M50" s="139"/>
      <c r="N50" s="139"/>
      <c r="O50" s="139"/>
      <c r="P50" s="98">
        <f>SUM(D50:O50)</f>
        <v>300000</v>
      </c>
    </row>
    <row r="51" spans="1:16" s="3" customFormat="1" x14ac:dyDescent="0.25">
      <c r="C51" s="113" t="s">
        <v>90</v>
      </c>
      <c r="D51" s="115">
        <f t="shared" ref="D51:P51" si="8">SUM(D48:D50)</f>
        <v>334763.48226407787</v>
      </c>
      <c r="E51" s="115">
        <f t="shared" si="8"/>
        <v>716723.88303425466</v>
      </c>
      <c r="F51" s="115">
        <f t="shared" si="8"/>
        <v>265263.23583729548</v>
      </c>
      <c r="G51" s="115">
        <f t="shared" si="8"/>
        <v>593645.10824656871</v>
      </c>
      <c r="H51" s="115">
        <f t="shared" si="8"/>
        <v>551154.21191036527</v>
      </c>
      <c r="I51" s="115">
        <f t="shared" si="8"/>
        <v>1172026.5788767012</v>
      </c>
      <c r="J51" s="115">
        <f t="shared" si="8"/>
        <v>884151.52801224857</v>
      </c>
      <c r="K51" s="115">
        <f t="shared" si="8"/>
        <v>1852908.9756068876</v>
      </c>
      <c r="L51" s="115">
        <f t="shared" si="8"/>
        <v>1267739.6640410903</v>
      </c>
      <c r="M51" s="115">
        <f t="shared" si="8"/>
        <v>82044.01388055009</v>
      </c>
      <c r="N51" s="115">
        <f t="shared" si="8"/>
        <v>424208.41413266119</v>
      </c>
      <c r="O51" s="115">
        <f t="shared" si="8"/>
        <v>867711.90415729932</v>
      </c>
      <c r="P51" s="125">
        <f t="shared" si="8"/>
        <v>9012341</v>
      </c>
    </row>
    <row r="52" spans="1:16" s="3" customFormat="1" x14ac:dyDescent="0.25">
      <c r="A52" s="107" t="s">
        <v>84</v>
      </c>
      <c r="B52" s="107"/>
      <c r="C52" s="107"/>
      <c r="D52" s="116">
        <f t="shared" ref="D52:P52" si="9">D46+D51</f>
        <v>11000152.482264077</v>
      </c>
      <c r="E52" s="116">
        <f t="shared" si="9"/>
        <v>11172849.551915625</v>
      </c>
      <c r="F52" s="116">
        <f t="shared" si="9"/>
        <v>10875933.997496856</v>
      </c>
      <c r="G52" s="116">
        <f t="shared" si="9"/>
        <v>10892723.607779052</v>
      </c>
      <c r="H52" s="116">
        <f t="shared" si="9"/>
        <v>10880661.170789959</v>
      </c>
      <c r="I52" s="116">
        <f t="shared" si="9"/>
        <v>11503371.172723968</v>
      </c>
      <c r="J52" s="116">
        <f t="shared" si="9"/>
        <v>11524589.165482622</v>
      </c>
      <c r="K52" s="116">
        <f t="shared" si="9"/>
        <v>12862884.0206258</v>
      </c>
      <c r="L52" s="116">
        <f t="shared" si="9"/>
        <v>13508523.377130486</v>
      </c>
      <c r="M52" s="116">
        <f t="shared" si="9"/>
        <v>12990091.386309899</v>
      </c>
      <c r="N52" s="116">
        <f t="shared" si="9"/>
        <v>12803967.584184047</v>
      </c>
      <c r="O52" s="116">
        <f t="shared" si="9"/>
        <v>12977812.210082589</v>
      </c>
      <c r="P52" s="95">
        <f t="shared" si="9"/>
        <v>19677730</v>
      </c>
    </row>
    <row r="53" spans="1:16" s="3" customFormat="1" x14ac:dyDescent="0.25">
      <c r="C53" s="112" t="s">
        <v>86</v>
      </c>
      <c r="D53" s="144"/>
      <c r="E53" s="144"/>
      <c r="F53" s="144"/>
      <c r="G53" s="144"/>
      <c r="H53" s="144"/>
      <c r="I53" s="144"/>
      <c r="J53" s="144"/>
      <c r="K53" s="144"/>
      <c r="L53" s="144"/>
      <c r="M53" s="144"/>
      <c r="N53" s="144"/>
      <c r="O53" s="144"/>
      <c r="P53" s="122"/>
    </row>
    <row r="54" spans="1:16" s="3" customFormat="1" x14ac:dyDescent="0.25">
      <c r="C54" s="69" t="s">
        <v>116</v>
      </c>
      <c r="D54" s="126">
        <f>$E$16*D40</f>
        <v>544026.81338270789</v>
      </c>
      <c r="E54" s="117">
        <f>$E$16*E40</f>
        <v>562178.79025606497</v>
      </c>
      <c r="F54" s="117">
        <f t="shared" ref="F54:O54" si="10">$E$16*F40</f>
        <v>576855.49796437297</v>
      </c>
      <c r="G54" s="117">
        <f t="shared" si="10"/>
        <v>563216.64889945777</v>
      </c>
      <c r="H54" s="117">
        <f t="shared" si="10"/>
        <v>549316.57694269158</v>
      </c>
      <c r="I54" s="117">
        <f t="shared" si="10"/>
        <v>712933.53525359381</v>
      </c>
      <c r="J54" s="117">
        <f t="shared" si="10"/>
        <v>514614.12046371039</v>
      </c>
      <c r="K54" s="117">
        <f t="shared" si="10"/>
        <v>622100.30753640423</v>
      </c>
      <c r="L54" s="117">
        <f t="shared" si="10"/>
        <v>550476.00470113812</v>
      </c>
      <c r="M54" s="117">
        <f t="shared" si="10"/>
        <v>610332.21625851456</v>
      </c>
      <c r="N54" s="117">
        <f t="shared" si="10"/>
        <v>693867.27825875813</v>
      </c>
      <c r="O54" s="117">
        <f t="shared" si="10"/>
        <v>513565.21008258546</v>
      </c>
      <c r="P54" s="123">
        <f>E16</f>
        <v>7013483</v>
      </c>
    </row>
    <row r="55" spans="1:16" s="3" customFormat="1" x14ac:dyDescent="0.25">
      <c r="C55" s="69" t="s">
        <v>111</v>
      </c>
      <c r="D55" s="138"/>
      <c r="E55" s="139"/>
      <c r="F55" s="139"/>
      <c r="G55" s="139"/>
      <c r="H55" s="139"/>
      <c r="I55" s="139"/>
      <c r="J55" s="139"/>
      <c r="K55" s="139"/>
      <c r="L55" s="139"/>
      <c r="M55" s="139"/>
      <c r="N55" s="139"/>
      <c r="O55" s="139"/>
      <c r="P55" s="98">
        <f>SUM(D55:O55)</f>
        <v>0</v>
      </c>
    </row>
    <row r="56" spans="1:16" s="3" customFormat="1" x14ac:dyDescent="0.25">
      <c r="C56" s="69" t="s">
        <v>177</v>
      </c>
      <c r="D56" s="138"/>
      <c r="E56" s="139"/>
      <c r="F56" s="139"/>
      <c r="G56" s="139"/>
      <c r="H56" s="139"/>
      <c r="I56" s="139">
        <v>150000</v>
      </c>
      <c r="J56" s="139"/>
      <c r="K56" s="139"/>
      <c r="L56" s="139"/>
      <c r="M56" s="139"/>
      <c r="N56" s="139"/>
      <c r="O56" s="139"/>
      <c r="P56" s="98"/>
    </row>
    <row r="57" spans="1:16" s="3" customFormat="1" x14ac:dyDescent="0.25">
      <c r="C57" s="69" t="s">
        <v>113</v>
      </c>
      <c r="D57" s="141"/>
      <c r="E57" s="142"/>
      <c r="F57" s="142"/>
      <c r="G57" s="142"/>
      <c r="H57" s="142"/>
      <c r="I57" s="142"/>
      <c r="J57" s="142"/>
      <c r="K57" s="142"/>
      <c r="L57" s="142">
        <v>50000</v>
      </c>
      <c r="M57" s="142"/>
      <c r="N57" s="142"/>
      <c r="O57" s="142"/>
      <c r="P57" s="124">
        <f>SUM(D57:O57)</f>
        <v>50000</v>
      </c>
    </row>
    <row r="58" spans="1:16" s="3" customFormat="1" ht="15.75" thickBot="1" x14ac:dyDescent="0.3">
      <c r="C58" s="113" t="s">
        <v>114</v>
      </c>
      <c r="D58" s="117">
        <f t="shared" ref="D58:P58" si="11">SUM(D54:D57)</f>
        <v>544026.81338270789</v>
      </c>
      <c r="E58" s="117">
        <f t="shared" si="11"/>
        <v>562178.79025606497</v>
      </c>
      <c r="F58" s="117">
        <f t="shared" si="11"/>
        <v>576855.49796437297</v>
      </c>
      <c r="G58" s="117">
        <f t="shared" si="11"/>
        <v>563216.64889945777</v>
      </c>
      <c r="H58" s="117">
        <f t="shared" si="11"/>
        <v>549316.57694269158</v>
      </c>
      <c r="I58" s="117">
        <f t="shared" si="11"/>
        <v>862933.53525359381</v>
      </c>
      <c r="J58" s="117">
        <f t="shared" si="11"/>
        <v>514614.12046371039</v>
      </c>
      <c r="K58" s="117">
        <f t="shared" si="11"/>
        <v>622100.30753640423</v>
      </c>
      <c r="L58" s="117">
        <f t="shared" si="11"/>
        <v>600476.00470113812</v>
      </c>
      <c r="M58" s="117">
        <f t="shared" si="11"/>
        <v>610332.21625851456</v>
      </c>
      <c r="N58" s="117">
        <f t="shared" si="11"/>
        <v>693867.27825875813</v>
      </c>
      <c r="O58" s="117">
        <f t="shared" si="11"/>
        <v>513565.21008258546</v>
      </c>
      <c r="P58" s="126">
        <f t="shared" si="11"/>
        <v>7063483</v>
      </c>
    </row>
    <row r="59" spans="1:16" s="3" customFormat="1" x14ac:dyDescent="0.25">
      <c r="A59" s="118" t="s">
        <v>87</v>
      </c>
      <c r="B59" s="119"/>
      <c r="C59" s="119"/>
      <c r="D59" s="120">
        <f t="shared" ref="D59:P59" si="12">D52-D58</f>
        <v>10456125.66888137</v>
      </c>
      <c r="E59" s="120">
        <f t="shared" si="12"/>
        <v>10610670.761659561</v>
      </c>
      <c r="F59" s="120">
        <f t="shared" si="12"/>
        <v>10299078.499532484</v>
      </c>
      <c r="G59" s="120">
        <f t="shared" si="12"/>
        <v>10329506.958879594</v>
      </c>
      <c r="H59" s="120">
        <f t="shared" si="12"/>
        <v>10331344.593847267</v>
      </c>
      <c r="I59" s="120">
        <f t="shared" si="12"/>
        <v>10640437.637470374</v>
      </c>
      <c r="J59" s="120">
        <f t="shared" si="12"/>
        <v>11009975.045018911</v>
      </c>
      <c r="K59" s="120">
        <f t="shared" si="12"/>
        <v>12240783.713089395</v>
      </c>
      <c r="L59" s="120">
        <f t="shared" si="12"/>
        <v>12908047.372429349</v>
      </c>
      <c r="M59" s="120">
        <f t="shared" si="12"/>
        <v>12379759.170051385</v>
      </c>
      <c r="N59" s="120">
        <f t="shared" si="12"/>
        <v>12110100.305925289</v>
      </c>
      <c r="O59" s="120">
        <f t="shared" si="12"/>
        <v>12464247.000000004</v>
      </c>
      <c r="P59" s="127">
        <f t="shared" si="12"/>
        <v>12614247</v>
      </c>
    </row>
    <row r="60" spans="1:16" s="3" customFormat="1" ht="15.75" thickBot="1" x14ac:dyDescent="0.3">
      <c r="A60" s="189" t="s">
        <v>88</v>
      </c>
      <c r="B60" s="190"/>
      <c r="C60" s="190"/>
      <c r="D60" s="191">
        <f t="shared" ref="D60:P60" si="13">D51-D58</f>
        <v>-209263.33111863001</v>
      </c>
      <c r="E60" s="191">
        <f t="shared" si="13"/>
        <v>154545.09277818969</v>
      </c>
      <c r="F60" s="191">
        <f t="shared" si="13"/>
        <v>-311592.2621270775</v>
      </c>
      <c r="G60" s="191">
        <f t="shared" si="13"/>
        <v>30428.45934711094</v>
      </c>
      <c r="H60" s="191">
        <f t="shared" si="13"/>
        <v>1837.6349676736863</v>
      </c>
      <c r="I60" s="191">
        <f t="shared" si="13"/>
        <v>309093.04362310737</v>
      </c>
      <c r="J60" s="191">
        <f t="shared" si="13"/>
        <v>369537.40754853818</v>
      </c>
      <c r="K60" s="191">
        <f t="shared" si="13"/>
        <v>1230808.6680704835</v>
      </c>
      <c r="L60" s="191">
        <f t="shared" si="13"/>
        <v>667263.65933995217</v>
      </c>
      <c r="M60" s="191">
        <f t="shared" si="13"/>
        <v>-528288.20237796451</v>
      </c>
      <c r="N60" s="191">
        <f t="shared" si="13"/>
        <v>-269658.86412609695</v>
      </c>
      <c r="O60" s="191">
        <f t="shared" si="13"/>
        <v>354146.69407471386</v>
      </c>
      <c r="P60" s="192">
        <f t="shared" si="13"/>
        <v>1948858</v>
      </c>
    </row>
    <row r="61" spans="1:16" s="3" customFormat="1" x14ac:dyDescent="0.25"/>
    <row r="62" spans="1:16" s="3" customFormat="1" x14ac:dyDescent="0.25"/>
  </sheetData>
  <mergeCells count="2">
    <mergeCell ref="D20:O20"/>
    <mergeCell ref="D44:O44"/>
  </mergeCells>
  <phoneticPr fontId="23" type="noConversion"/>
  <dataValidations count="1">
    <dataValidation showDropDown="1" showInputMessage="1" showErrorMessage="1" sqref="C9" xr:uid="{27090DC7-7A84-4204-93D0-A1583BF138A0}"/>
  </dataValidations>
  <pageMargins left="0" right="0" top="0.25" bottom="0.25" header="0.3" footer="0.3"/>
  <pageSetup scale="63" fitToHeight="0" orientation="landscape" verticalDpi="0"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8F2-A17D-4A89-947F-8D64B32A7A16}">
  <sheetPr codeName="Sheet5">
    <tabColor rgb="FF9B2743"/>
    <pageSetUpPr fitToPage="1"/>
  </sheetPr>
  <dimension ref="A1:O26"/>
  <sheetViews>
    <sheetView zoomScaleNormal="100" workbookViewId="0"/>
  </sheetViews>
  <sheetFormatPr defaultRowHeight="15" x14ac:dyDescent="0.25"/>
  <cols>
    <col min="1" max="1" width="4.7109375" customWidth="1"/>
    <col min="2" max="2" width="36.7109375" customWidth="1"/>
    <col min="3" max="15" width="12.7109375" customWidth="1"/>
  </cols>
  <sheetData>
    <row r="1" spans="1:15" ht="20.25" x14ac:dyDescent="0.25">
      <c r="A1" s="65" t="s">
        <v>121</v>
      </c>
      <c r="B1" s="65"/>
    </row>
    <row r="2" spans="1:15" ht="18.75" x14ac:dyDescent="0.3">
      <c r="A2" s="64" t="str">
        <f ca="1">_xlfn.CONCAT("Budget Year | ", IF(MONTH(TODAY())&gt;8,YEAR(TODAY())+2,YEAR(TODAY())+1))</f>
        <v>Budget Year | 2026</v>
      </c>
      <c r="B2" s="64"/>
    </row>
    <row r="4" spans="1:15" ht="20.25" x14ac:dyDescent="0.3">
      <c r="A4" s="151" t="str">
        <f>'Step 1) Budget Summary'!B4</f>
        <v>City of Pawnee</v>
      </c>
      <c r="B4" s="70"/>
    </row>
    <row r="10" spans="1:15" ht="15.75" x14ac:dyDescent="0.25">
      <c r="A10" s="3"/>
      <c r="B10" s="106"/>
      <c r="C10" s="213" t="str">
        <f ca="1">_xlfn.CONCAT('Step 3) Cash Flow Tool'!C9, " | Budget Year | ", (IF(MONTH(TODAY())&gt;8,YEAR(TODAY())+2,YEAR(TODAY())+1)))</f>
        <v>General Fund | Budget Year | 2026</v>
      </c>
      <c r="D10" s="213"/>
      <c r="E10" s="213"/>
      <c r="F10" s="213"/>
      <c r="G10" s="213"/>
      <c r="H10" s="213"/>
      <c r="I10" s="213"/>
      <c r="J10" s="213"/>
      <c r="K10" s="213"/>
      <c r="L10" s="213"/>
      <c r="M10" s="213"/>
      <c r="N10" s="213"/>
      <c r="O10" s="135"/>
    </row>
    <row r="11" spans="1:15" x14ac:dyDescent="0.25">
      <c r="A11" s="108"/>
      <c r="B11" s="108"/>
      <c r="C11" s="105" t="s">
        <v>56</v>
      </c>
      <c r="D11" s="105" t="s">
        <v>57</v>
      </c>
      <c r="E11" s="105" t="s">
        <v>58</v>
      </c>
      <c r="F11" s="105" t="s">
        <v>59</v>
      </c>
      <c r="G11" s="105" t="s">
        <v>60</v>
      </c>
      <c r="H11" s="105" t="s">
        <v>61</v>
      </c>
      <c r="I11" s="105" t="s">
        <v>62</v>
      </c>
      <c r="J11" s="105" t="s">
        <v>63</v>
      </c>
      <c r="K11" s="105" t="s">
        <v>64</v>
      </c>
      <c r="L11" s="105" t="s">
        <v>65</v>
      </c>
      <c r="M11" s="105" t="s">
        <v>66</v>
      </c>
      <c r="N11" s="105" t="s">
        <v>67</v>
      </c>
      <c r="O11" s="105" t="s">
        <v>91</v>
      </c>
    </row>
    <row r="12" spans="1:15" x14ac:dyDescent="0.25">
      <c r="A12" s="109" t="s">
        <v>83</v>
      </c>
      <c r="B12" s="109"/>
      <c r="C12" s="114">
        <f>'Step 3) Cash Flow Tool'!D46</f>
        <v>10665389</v>
      </c>
      <c r="D12" s="114">
        <f>'Step 3) Cash Flow Tool'!E46</f>
        <v>10456125.66888137</v>
      </c>
      <c r="E12" s="114">
        <f>'Step 3) Cash Flow Tool'!F46</f>
        <v>10610670.761659561</v>
      </c>
      <c r="F12" s="114">
        <f>'Step 3) Cash Flow Tool'!G46</f>
        <v>10299078.499532484</v>
      </c>
      <c r="G12" s="114">
        <f>'Step 3) Cash Flow Tool'!H46</f>
        <v>10329506.958879594</v>
      </c>
      <c r="H12" s="114">
        <f>'Step 3) Cash Flow Tool'!I46</f>
        <v>10331344.593847267</v>
      </c>
      <c r="I12" s="114">
        <f>'Step 3) Cash Flow Tool'!J46</f>
        <v>10640437.637470374</v>
      </c>
      <c r="J12" s="114">
        <f>'Step 3) Cash Flow Tool'!K46</f>
        <v>11009975.045018911</v>
      </c>
      <c r="K12" s="114">
        <f>'Step 3) Cash Flow Tool'!L46</f>
        <v>12240783.713089395</v>
      </c>
      <c r="L12" s="114">
        <f>'Step 3) Cash Flow Tool'!M46</f>
        <v>12908047.372429349</v>
      </c>
      <c r="M12" s="114">
        <f>'Step 3) Cash Flow Tool'!N46</f>
        <v>12379759.170051385</v>
      </c>
      <c r="N12" s="114">
        <f>'Step 3) Cash Flow Tool'!O46</f>
        <v>12110100.305925289</v>
      </c>
      <c r="O12" s="121">
        <f>'Step 3) Cash Flow Tool'!P46</f>
        <v>10665389</v>
      </c>
    </row>
    <row r="13" spans="1:15" x14ac:dyDescent="0.25">
      <c r="A13" s="3"/>
      <c r="B13" s="112" t="s">
        <v>85</v>
      </c>
      <c r="C13" s="110"/>
      <c r="D13" s="110"/>
      <c r="E13" s="110"/>
      <c r="F13" s="110"/>
      <c r="G13" s="110"/>
      <c r="H13" s="110"/>
      <c r="I13" s="111"/>
      <c r="J13" s="111"/>
      <c r="K13" s="111"/>
      <c r="L13" s="111"/>
      <c r="M13" s="110"/>
      <c r="N13" s="110"/>
      <c r="O13" s="122"/>
    </row>
    <row r="14" spans="1:15" x14ac:dyDescent="0.25">
      <c r="A14" s="3"/>
      <c r="B14" s="69" t="s">
        <v>115</v>
      </c>
      <c r="C14" s="126">
        <f>'Step 3) Cash Flow Tool'!D48</f>
        <v>334763.48226407787</v>
      </c>
      <c r="D14" s="117">
        <f>'Step 3) Cash Flow Tool'!E48</f>
        <v>416723.8830342546</v>
      </c>
      <c r="E14" s="117">
        <f>'Step 3) Cash Flow Tool'!F48</f>
        <v>265263.23583729548</v>
      </c>
      <c r="F14" s="117">
        <f>'Step 3) Cash Flow Tool'!G48</f>
        <v>593645.10824656871</v>
      </c>
      <c r="G14" s="117">
        <f>'Step 3) Cash Flow Tool'!H48</f>
        <v>551154.21191036527</v>
      </c>
      <c r="H14" s="117">
        <f>'Step 3) Cash Flow Tool'!I48</f>
        <v>1172026.5788767012</v>
      </c>
      <c r="I14" s="117">
        <f>'Step 3) Cash Flow Tool'!J48</f>
        <v>884151.52801224857</v>
      </c>
      <c r="J14" s="117">
        <f>'Step 3) Cash Flow Tool'!K48</f>
        <v>1852908.9756068876</v>
      </c>
      <c r="K14" s="117">
        <f>'Step 3) Cash Flow Tool'!L48</f>
        <v>1267739.6640410903</v>
      </c>
      <c r="L14" s="117">
        <f>'Step 3) Cash Flow Tool'!M48</f>
        <v>82044.01388055009</v>
      </c>
      <c r="M14" s="117">
        <f>'Step 3) Cash Flow Tool'!N48</f>
        <v>424208.41413266119</v>
      </c>
      <c r="N14" s="117">
        <f>'Step 3) Cash Flow Tool'!O48</f>
        <v>867711.90415729932</v>
      </c>
      <c r="O14" s="123">
        <f>'Step 3) Cash Flow Tool'!P48</f>
        <v>8712341</v>
      </c>
    </row>
    <row r="15" spans="1:15" x14ac:dyDescent="0.25">
      <c r="A15" s="3"/>
      <c r="B15" s="69" t="s">
        <v>123</v>
      </c>
      <c r="C15" s="93">
        <f>'Step 3) Cash Flow Tool'!D49</f>
        <v>0</v>
      </c>
      <c r="D15" s="144">
        <f>'Step 3) Cash Flow Tool'!E49</f>
        <v>0</v>
      </c>
      <c r="E15" s="144">
        <f>'Step 3) Cash Flow Tool'!F49</f>
        <v>0</v>
      </c>
      <c r="F15" s="144">
        <f>'Step 3) Cash Flow Tool'!G49</f>
        <v>0</v>
      </c>
      <c r="G15" s="144">
        <f>'Step 3) Cash Flow Tool'!H49</f>
        <v>0</v>
      </c>
      <c r="H15" s="144">
        <f>'Step 3) Cash Flow Tool'!I49</f>
        <v>0</v>
      </c>
      <c r="I15" s="144">
        <f>'Step 3) Cash Flow Tool'!J49</f>
        <v>0</v>
      </c>
      <c r="J15" s="144">
        <f>'Step 3) Cash Flow Tool'!K49</f>
        <v>0</v>
      </c>
      <c r="K15" s="144">
        <f>'Step 3) Cash Flow Tool'!L49</f>
        <v>0</v>
      </c>
      <c r="L15" s="144">
        <f>'Step 3) Cash Flow Tool'!M49</f>
        <v>0</v>
      </c>
      <c r="M15" s="144">
        <f>'Step 3) Cash Flow Tool'!N49</f>
        <v>0</v>
      </c>
      <c r="N15" s="144">
        <f>'Step 3) Cash Flow Tool'!O49</f>
        <v>0</v>
      </c>
      <c r="O15" s="98">
        <f>'Step 3) Cash Flow Tool'!P49</f>
        <v>0</v>
      </c>
    </row>
    <row r="16" spans="1:15" x14ac:dyDescent="0.25">
      <c r="A16" s="3"/>
      <c r="B16" s="69" t="s">
        <v>124</v>
      </c>
      <c r="C16" s="93">
        <f>'Step 3) Cash Flow Tool'!D50</f>
        <v>0</v>
      </c>
      <c r="D16" s="144">
        <f>'Step 3) Cash Flow Tool'!E50</f>
        <v>300000</v>
      </c>
      <c r="E16" s="144">
        <f>'Step 3) Cash Flow Tool'!F50</f>
        <v>0</v>
      </c>
      <c r="F16" s="144">
        <f>'Step 3) Cash Flow Tool'!G50</f>
        <v>0</v>
      </c>
      <c r="G16" s="144">
        <f>'Step 3) Cash Flow Tool'!H50</f>
        <v>0</v>
      </c>
      <c r="H16" s="144">
        <f>'Step 3) Cash Flow Tool'!I50</f>
        <v>0</v>
      </c>
      <c r="I16" s="144">
        <f>'Step 3) Cash Flow Tool'!J50</f>
        <v>0</v>
      </c>
      <c r="J16" s="144">
        <f>'Step 3) Cash Flow Tool'!K50</f>
        <v>0</v>
      </c>
      <c r="K16" s="144">
        <f>'Step 3) Cash Flow Tool'!L50</f>
        <v>0</v>
      </c>
      <c r="L16" s="144">
        <f>'Step 3) Cash Flow Tool'!M50</f>
        <v>0</v>
      </c>
      <c r="M16" s="144">
        <f>'Step 3) Cash Flow Tool'!N50</f>
        <v>0</v>
      </c>
      <c r="N16" s="144">
        <f>'Step 3) Cash Flow Tool'!O50</f>
        <v>0</v>
      </c>
      <c r="O16" s="98">
        <f>'Step 3) Cash Flow Tool'!P50</f>
        <v>300000</v>
      </c>
    </row>
    <row r="17" spans="1:15" x14ac:dyDescent="0.25">
      <c r="A17" s="3"/>
      <c r="B17" s="113" t="s">
        <v>90</v>
      </c>
      <c r="C17" s="115">
        <f>'Step 3) Cash Flow Tool'!D51</f>
        <v>334763.48226407787</v>
      </c>
      <c r="D17" s="115">
        <f>'Step 3) Cash Flow Tool'!E51</f>
        <v>716723.88303425466</v>
      </c>
      <c r="E17" s="115">
        <f>'Step 3) Cash Flow Tool'!F51</f>
        <v>265263.23583729548</v>
      </c>
      <c r="F17" s="115">
        <f>'Step 3) Cash Flow Tool'!G51</f>
        <v>593645.10824656871</v>
      </c>
      <c r="G17" s="115">
        <f>'Step 3) Cash Flow Tool'!H51</f>
        <v>551154.21191036527</v>
      </c>
      <c r="H17" s="115">
        <f>'Step 3) Cash Flow Tool'!I51</f>
        <v>1172026.5788767012</v>
      </c>
      <c r="I17" s="115">
        <f>'Step 3) Cash Flow Tool'!J51</f>
        <v>884151.52801224857</v>
      </c>
      <c r="J17" s="115">
        <f>'Step 3) Cash Flow Tool'!K51</f>
        <v>1852908.9756068876</v>
      </c>
      <c r="K17" s="115">
        <f>'Step 3) Cash Flow Tool'!L51</f>
        <v>1267739.6640410903</v>
      </c>
      <c r="L17" s="115">
        <f>'Step 3) Cash Flow Tool'!M51</f>
        <v>82044.01388055009</v>
      </c>
      <c r="M17" s="115">
        <f>'Step 3) Cash Flow Tool'!N51</f>
        <v>424208.41413266119</v>
      </c>
      <c r="N17" s="115">
        <f>'Step 3) Cash Flow Tool'!O51</f>
        <v>867711.90415729932</v>
      </c>
      <c r="O17" s="125">
        <f>'Step 3) Cash Flow Tool'!P51</f>
        <v>9012341</v>
      </c>
    </row>
    <row r="18" spans="1:15" x14ac:dyDescent="0.25">
      <c r="A18" s="107" t="s">
        <v>84</v>
      </c>
      <c r="B18" s="107"/>
      <c r="C18" s="116">
        <f>'Step 3) Cash Flow Tool'!D52</f>
        <v>11000152.482264077</v>
      </c>
      <c r="D18" s="116">
        <f>'Step 3) Cash Flow Tool'!E52</f>
        <v>11172849.551915625</v>
      </c>
      <c r="E18" s="116">
        <f>'Step 3) Cash Flow Tool'!F52</f>
        <v>10875933.997496856</v>
      </c>
      <c r="F18" s="116">
        <f>'Step 3) Cash Flow Tool'!G52</f>
        <v>10892723.607779052</v>
      </c>
      <c r="G18" s="116">
        <f>'Step 3) Cash Flow Tool'!H52</f>
        <v>10880661.170789959</v>
      </c>
      <c r="H18" s="116">
        <f>'Step 3) Cash Flow Tool'!I52</f>
        <v>11503371.172723968</v>
      </c>
      <c r="I18" s="116">
        <f>'Step 3) Cash Flow Tool'!J52</f>
        <v>11524589.165482622</v>
      </c>
      <c r="J18" s="116">
        <f>'Step 3) Cash Flow Tool'!K52</f>
        <v>12862884.0206258</v>
      </c>
      <c r="K18" s="116">
        <f>'Step 3) Cash Flow Tool'!L52</f>
        <v>13508523.377130486</v>
      </c>
      <c r="L18" s="116">
        <f>'Step 3) Cash Flow Tool'!M52</f>
        <v>12990091.386309899</v>
      </c>
      <c r="M18" s="116">
        <f>'Step 3) Cash Flow Tool'!N52</f>
        <v>12803967.584184047</v>
      </c>
      <c r="N18" s="116">
        <f>'Step 3) Cash Flow Tool'!O52</f>
        <v>12977812.210082589</v>
      </c>
      <c r="O18" s="95">
        <f>'Step 3) Cash Flow Tool'!P52</f>
        <v>19677730</v>
      </c>
    </row>
    <row r="19" spans="1:15" x14ac:dyDescent="0.25">
      <c r="A19" s="3"/>
      <c r="B19" s="112" t="s">
        <v>86</v>
      </c>
      <c r="C19" s="144"/>
      <c r="D19" s="144"/>
      <c r="E19" s="144"/>
      <c r="F19" s="144"/>
      <c r="G19" s="144"/>
      <c r="H19" s="144"/>
      <c r="I19" s="144"/>
      <c r="J19" s="144"/>
      <c r="K19" s="144"/>
      <c r="L19" s="144"/>
      <c r="M19" s="144"/>
      <c r="N19" s="144"/>
      <c r="O19" s="93"/>
    </row>
    <row r="20" spans="1:15" x14ac:dyDescent="0.25">
      <c r="A20" s="3"/>
      <c r="B20" s="69" t="s">
        <v>116</v>
      </c>
      <c r="C20" s="126">
        <f>'Step 3) Cash Flow Tool'!D54</f>
        <v>544026.81338270789</v>
      </c>
      <c r="D20" s="117">
        <f>'Step 3) Cash Flow Tool'!E54</f>
        <v>562178.79025606497</v>
      </c>
      <c r="E20" s="117">
        <f>'Step 3) Cash Flow Tool'!F54</f>
        <v>576855.49796437297</v>
      </c>
      <c r="F20" s="117">
        <f>'Step 3) Cash Flow Tool'!G54</f>
        <v>563216.64889945777</v>
      </c>
      <c r="G20" s="117">
        <f>'Step 3) Cash Flow Tool'!H54</f>
        <v>549316.57694269158</v>
      </c>
      <c r="H20" s="117">
        <f>'Step 3) Cash Flow Tool'!I54</f>
        <v>712933.53525359381</v>
      </c>
      <c r="I20" s="117">
        <f>'Step 3) Cash Flow Tool'!J54</f>
        <v>514614.12046371039</v>
      </c>
      <c r="J20" s="117">
        <f>'Step 3) Cash Flow Tool'!K54</f>
        <v>622100.30753640423</v>
      </c>
      <c r="K20" s="117">
        <f>'Step 3) Cash Flow Tool'!L54</f>
        <v>550476.00470113812</v>
      </c>
      <c r="L20" s="117">
        <f>'Step 3) Cash Flow Tool'!M54</f>
        <v>610332.21625851456</v>
      </c>
      <c r="M20" s="117">
        <f>'Step 3) Cash Flow Tool'!N54</f>
        <v>693867.27825875813</v>
      </c>
      <c r="N20" s="117">
        <f>'Step 3) Cash Flow Tool'!O54</f>
        <v>513565.21008258546</v>
      </c>
      <c r="O20" s="123">
        <f>'Step 3) Cash Flow Tool'!P54</f>
        <v>7013483</v>
      </c>
    </row>
    <row r="21" spans="1:15" x14ac:dyDescent="0.25">
      <c r="A21" s="3"/>
      <c r="B21" s="69" t="s">
        <v>178</v>
      </c>
      <c r="C21" s="93">
        <f>'Step 3) Cash Flow Tool'!D55</f>
        <v>0</v>
      </c>
      <c r="D21" s="144">
        <f>'Step 3) Cash Flow Tool'!E55</f>
        <v>0</v>
      </c>
      <c r="E21" s="144">
        <f>'Step 3) Cash Flow Tool'!F55</f>
        <v>0</v>
      </c>
      <c r="F21" s="144">
        <f>'Step 3) Cash Flow Tool'!G55</f>
        <v>0</v>
      </c>
      <c r="G21" s="144">
        <f>'Step 3) Cash Flow Tool'!H55</f>
        <v>0</v>
      </c>
      <c r="H21" s="144">
        <f>'Step 3) Cash Flow Tool'!I55</f>
        <v>0</v>
      </c>
      <c r="I21" s="144">
        <f>'Step 3) Cash Flow Tool'!J55</f>
        <v>0</v>
      </c>
      <c r="J21" s="144">
        <f>'Step 3) Cash Flow Tool'!K55</f>
        <v>0</v>
      </c>
      <c r="K21" s="144">
        <f>'Step 3) Cash Flow Tool'!L55</f>
        <v>0</v>
      </c>
      <c r="L21" s="144">
        <f>'Step 3) Cash Flow Tool'!M55</f>
        <v>0</v>
      </c>
      <c r="M21" s="144">
        <f>'Step 3) Cash Flow Tool'!N55</f>
        <v>0</v>
      </c>
      <c r="N21" s="144">
        <f>'Step 3) Cash Flow Tool'!O55</f>
        <v>0</v>
      </c>
      <c r="O21" s="98">
        <f>'Step 3) Cash Flow Tool'!P55</f>
        <v>0</v>
      </c>
    </row>
    <row r="22" spans="1:15" x14ac:dyDescent="0.25">
      <c r="A22" s="3"/>
      <c r="B22" s="69" t="s">
        <v>179</v>
      </c>
      <c r="C22" s="93">
        <f>'Step 3) Cash Flow Tool'!D56</f>
        <v>0</v>
      </c>
      <c r="D22" s="144">
        <f>'Step 3) Cash Flow Tool'!E56</f>
        <v>0</v>
      </c>
      <c r="E22" s="144">
        <f>'Step 3) Cash Flow Tool'!F56</f>
        <v>0</v>
      </c>
      <c r="F22" s="144">
        <f>'Step 3) Cash Flow Tool'!G56</f>
        <v>0</v>
      </c>
      <c r="G22" s="144">
        <f>'Step 3) Cash Flow Tool'!H56</f>
        <v>0</v>
      </c>
      <c r="H22" s="144">
        <f>'Step 3) Cash Flow Tool'!I56</f>
        <v>150000</v>
      </c>
      <c r="I22" s="144">
        <f>'Step 3) Cash Flow Tool'!J56</f>
        <v>0</v>
      </c>
      <c r="J22" s="144">
        <f>'Step 3) Cash Flow Tool'!K56</f>
        <v>0</v>
      </c>
      <c r="K22" s="144">
        <f>'Step 3) Cash Flow Tool'!L56</f>
        <v>0</v>
      </c>
      <c r="L22" s="144">
        <f>'Step 3) Cash Flow Tool'!M56</f>
        <v>0</v>
      </c>
      <c r="M22" s="144">
        <f>'Step 3) Cash Flow Tool'!N56</f>
        <v>0</v>
      </c>
      <c r="N22" s="144">
        <f>'Step 3) Cash Flow Tool'!O56</f>
        <v>0</v>
      </c>
      <c r="O22" s="98">
        <f>'Step 3) Cash Flow Tool'!P56</f>
        <v>0</v>
      </c>
    </row>
    <row r="23" spans="1:15" x14ac:dyDescent="0.25">
      <c r="A23" s="3"/>
      <c r="B23" s="69" t="s">
        <v>180</v>
      </c>
      <c r="C23" s="95">
        <f>'Step 3) Cash Flow Tool'!D57</f>
        <v>0</v>
      </c>
      <c r="D23" s="116">
        <f>'Step 3) Cash Flow Tool'!E57</f>
        <v>0</v>
      </c>
      <c r="E23" s="116">
        <f>'Step 3) Cash Flow Tool'!F57</f>
        <v>0</v>
      </c>
      <c r="F23" s="116">
        <f>'Step 3) Cash Flow Tool'!G57</f>
        <v>0</v>
      </c>
      <c r="G23" s="116">
        <f>'Step 3) Cash Flow Tool'!H57</f>
        <v>0</v>
      </c>
      <c r="H23" s="116">
        <f>'Step 3) Cash Flow Tool'!I57</f>
        <v>0</v>
      </c>
      <c r="I23" s="116">
        <f>'Step 3) Cash Flow Tool'!J57</f>
        <v>0</v>
      </c>
      <c r="J23" s="116">
        <f>'Step 3) Cash Flow Tool'!K57</f>
        <v>0</v>
      </c>
      <c r="K23" s="116">
        <f>'Step 3) Cash Flow Tool'!L57</f>
        <v>50000</v>
      </c>
      <c r="L23" s="116">
        <f>'Step 3) Cash Flow Tool'!M57</f>
        <v>0</v>
      </c>
      <c r="M23" s="116">
        <f>'Step 3) Cash Flow Tool'!N57</f>
        <v>0</v>
      </c>
      <c r="N23" s="116">
        <f>'Step 3) Cash Flow Tool'!O57</f>
        <v>0</v>
      </c>
      <c r="O23" s="124">
        <f>'Step 3) Cash Flow Tool'!P57</f>
        <v>50000</v>
      </c>
    </row>
    <row r="24" spans="1:15" ht="15.75" thickBot="1" x14ac:dyDescent="0.3">
      <c r="A24" s="3"/>
      <c r="B24" s="113" t="s">
        <v>114</v>
      </c>
      <c r="C24" s="117">
        <f>'Step 3) Cash Flow Tool'!D58</f>
        <v>544026.81338270789</v>
      </c>
      <c r="D24" s="117">
        <f>'Step 3) Cash Flow Tool'!E58</f>
        <v>562178.79025606497</v>
      </c>
      <c r="E24" s="117">
        <f>'Step 3) Cash Flow Tool'!F58</f>
        <v>576855.49796437297</v>
      </c>
      <c r="F24" s="117">
        <f>'Step 3) Cash Flow Tool'!G58</f>
        <v>563216.64889945777</v>
      </c>
      <c r="G24" s="117">
        <f>'Step 3) Cash Flow Tool'!H58</f>
        <v>549316.57694269158</v>
      </c>
      <c r="H24" s="117">
        <f>'Step 3) Cash Flow Tool'!I58</f>
        <v>862933.53525359381</v>
      </c>
      <c r="I24" s="117">
        <f>'Step 3) Cash Flow Tool'!J58</f>
        <v>514614.12046371039</v>
      </c>
      <c r="J24" s="117">
        <f>'Step 3) Cash Flow Tool'!K58</f>
        <v>622100.30753640423</v>
      </c>
      <c r="K24" s="117">
        <f>'Step 3) Cash Flow Tool'!L58</f>
        <v>600476.00470113812</v>
      </c>
      <c r="L24" s="117">
        <f>'Step 3) Cash Flow Tool'!M58</f>
        <v>610332.21625851456</v>
      </c>
      <c r="M24" s="117">
        <f>'Step 3) Cash Flow Tool'!N58</f>
        <v>693867.27825875813</v>
      </c>
      <c r="N24" s="117">
        <f>'Step 3) Cash Flow Tool'!O58</f>
        <v>513565.21008258546</v>
      </c>
      <c r="O24" s="126">
        <f>'Step 3) Cash Flow Tool'!P58</f>
        <v>7063483</v>
      </c>
    </row>
    <row r="25" spans="1:15" x14ac:dyDescent="0.25">
      <c r="A25" s="118" t="s">
        <v>87</v>
      </c>
      <c r="B25" s="119"/>
      <c r="C25" s="120">
        <f>'Step 3) Cash Flow Tool'!D59</f>
        <v>10456125.66888137</v>
      </c>
      <c r="D25" s="120">
        <f>'Step 3) Cash Flow Tool'!E59</f>
        <v>10610670.761659561</v>
      </c>
      <c r="E25" s="120">
        <f>'Step 3) Cash Flow Tool'!F59</f>
        <v>10299078.499532484</v>
      </c>
      <c r="F25" s="120">
        <f>'Step 3) Cash Flow Tool'!G59</f>
        <v>10329506.958879594</v>
      </c>
      <c r="G25" s="120">
        <f>'Step 3) Cash Flow Tool'!H59</f>
        <v>10331344.593847267</v>
      </c>
      <c r="H25" s="120">
        <f>'Step 3) Cash Flow Tool'!I59</f>
        <v>10640437.637470374</v>
      </c>
      <c r="I25" s="120">
        <f>'Step 3) Cash Flow Tool'!J59</f>
        <v>11009975.045018911</v>
      </c>
      <c r="J25" s="120">
        <f>'Step 3) Cash Flow Tool'!K59</f>
        <v>12240783.713089395</v>
      </c>
      <c r="K25" s="120">
        <f>'Step 3) Cash Flow Tool'!L59</f>
        <v>12908047.372429349</v>
      </c>
      <c r="L25" s="120">
        <f>'Step 3) Cash Flow Tool'!M59</f>
        <v>12379759.170051385</v>
      </c>
      <c r="M25" s="120">
        <f>'Step 3) Cash Flow Tool'!N59</f>
        <v>12110100.305925289</v>
      </c>
      <c r="N25" s="120">
        <f>'Step 3) Cash Flow Tool'!O59</f>
        <v>12464247.000000004</v>
      </c>
      <c r="O25" s="127">
        <f>'Step 3) Cash Flow Tool'!P59</f>
        <v>12614247</v>
      </c>
    </row>
    <row r="26" spans="1:15" ht="15.75" thickBot="1" x14ac:dyDescent="0.3">
      <c r="A26" s="189" t="s">
        <v>88</v>
      </c>
      <c r="B26" s="190"/>
      <c r="C26" s="191">
        <f>'Step 3) Cash Flow Tool'!D60</f>
        <v>-209263.33111863001</v>
      </c>
      <c r="D26" s="191">
        <f>'Step 3) Cash Flow Tool'!E60</f>
        <v>154545.09277818969</v>
      </c>
      <c r="E26" s="191">
        <f>'Step 3) Cash Flow Tool'!F60</f>
        <v>-311592.2621270775</v>
      </c>
      <c r="F26" s="191">
        <f>'Step 3) Cash Flow Tool'!G60</f>
        <v>30428.45934711094</v>
      </c>
      <c r="G26" s="191">
        <f>'Step 3) Cash Flow Tool'!H60</f>
        <v>1837.6349676736863</v>
      </c>
      <c r="H26" s="191">
        <f>'Step 3) Cash Flow Tool'!I60</f>
        <v>309093.04362310737</v>
      </c>
      <c r="I26" s="191">
        <f>'Step 3) Cash Flow Tool'!J60</f>
        <v>369537.40754853818</v>
      </c>
      <c r="J26" s="191">
        <f>'Step 3) Cash Flow Tool'!K60</f>
        <v>1230808.6680704835</v>
      </c>
      <c r="K26" s="191">
        <f>'Step 3) Cash Flow Tool'!L60</f>
        <v>667263.65933995217</v>
      </c>
      <c r="L26" s="191">
        <f>'Step 3) Cash Flow Tool'!M60</f>
        <v>-528288.20237796451</v>
      </c>
      <c r="M26" s="191">
        <f>'Step 3) Cash Flow Tool'!N60</f>
        <v>-269658.86412609695</v>
      </c>
      <c r="N26" s="191">
        <f>'Step 3) Cash Flow Tool'!O60</f>
        <v>354146.69407471386</v>
      </c>
      <c r="O26" s="192">
        <f>'Step 3) Cash Flow Tool'!P60</f>
        <v>1948858</v>
      </c>
    </row>
  </sheetData>
  <mergeCells count="1">
    <mergeCell ref="C10:N10"/>
  </mergeCells>
  <pageMargins left="0" right="0" top="0.25" bottom="0.25" header="0.3" footer="0.3"/>
  <pageSetup scale="65" fitToHeight="0" orientation="landscape" verticalDpi="0"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0258-7400-4696-A6B7-A6D55C55AE2E}">
  <sheetPr codeName="Sheet6">
    <tabColor rgb="FF003B5C"/>
    <pageSetUpPr fitToPage="1"/>
  </sheetPr>
  <dimension ref="A1:F42"/>
  <sheetViews>
    <sheetView zoomScaleNormal="100" workbookViewId="0"/>
  </sheetViews>
  <sheetFormatPr defaultRowHeight="15" x14ac:dyDescent="0.25"/>
  <cols>
    <col min="1" max="1" width="36.7109375" customWidth="1"/>
    <col min="2" max="9" width="15.7109375" customWidth="1"/>
  </cols>
  <sheetData>
    <row r="1" spans="1:6" ht="20.25" x14ac:dyDescent="0.25">
      <c r="A1" s="65" t="s">
        <v>46</v>
      </c>
      <c r="D1" s="75">
        <v>1</v>
      </c>
    </row>
    <row r="2" spans="1:6" ht="18.75" x14ac:dyDescent="0.25">
      <c r="A2" s="63" t="str">
        <f ca="1">_xlfn.CONCAT("Budget Year ", IF(MONTH(TODAY())&gt;8,YEAR(TODAY())+2,YEAR(TODAY())+1))</f>
        <v>Budget Year 2026</v>
      </c>
    </row>
    <row r="4" spans="1:6" ht="18.75" x14ac:dyDescent="0.3">
      <c r="A4" s="66" t="s">
        <v>47</v>
      </c>
      <c r="F4" t="str">
        <f>IF(D1=1,"Use estimator Version A (for cities and towns).", "Use estimator Version B (for counties and metros).")</f>
        <v>Use estimator Version A (for cities and towns).</v>
      </c>
    </row>
    <row r="5" spans="1:6" ht="15.75" x14ac:dyDescent="0.25">
      <c r="A5" s="143" t="s">
        <v>125</v>
      </c>
    </row>
    <row r="7" spans="1:6" ht="18.75" x14ac:dyDescent="0.3">
      <c r="A7" s="66" t="s">
        <v>48</v>
      </c>
    </row>
    <row r="8" spans="1:6" s="3" customFormat="1" x14ac:dyDescent="0.25"/>
    <row r="9" spans="1:6" s="3" customFormat="1" x14ac:dyDescent="0.25">
      <c r="A9" s="77" t="str">
        <f>IF(D1=2,"County or Metro Selected - Use Version B (below)", "Version A - Cities and Towns")</f>
        <v>Version A - Cities and Towns</v>
      </c>
      <c r="B9" s="76"/>
      <c r="C9" s="76"/>
    </row>
    <row r="10" spans="1:6" s="3" customFormat="1" x14ac:dyDescent="0.25">
      <c r="A10" s="78" t="s">
        <v>51</v>
      </c>
    </row>
    <row r="11" spans="1:6" s="3" customFormat="1" x14ac:dyDescent="0.25">
      <c r="A11" s="69" t="s">
        <v>53</v>
      </c>
      <c r="B11" s="80">
        <v>199780635</v>
      </c>
    </row>
    <row r="12" spans="1:6" s="3" customFormat="1" x14ac:dyDescent="0.25">
      <c r="A12" s="69" t="s">
        <v>54</v>
      </c>
      <c r="B12" s="81">
        <v>1.2344999999999999</v>
      </c>
    </row>
    <row r="13" spans="1:6" s="3" customFormat="1" x14ac:dyDescent="0.25">
      <c r="A13" s="69" t="s">
        <v>55</v>
      </c>
      <c r="B13" s="82">
        <v>0.95</v>
      </c>
    </row>
    <row r="14" spans="1:6" s="3" customFormat="1" x14ac:dyDescent="0.25">
      <c r="A14" s="69" t="s">
        <v>43</v>
      </c>
      <c r="B14" s="98">
        <f>(B11/100)*B12</f>
        <v>2466291.9390750001</v>
      </c>
    </row>
    <row r="15" spans="1:6" s="3" customFormat="1" x14ac:dyDescent="0.25">
      <c r="A15" s="101" t="s">
        <v>49</v>
      </c>
      <c r="B15" s="99">
        <f>B14*B13</f>
        <v>2342977.34212125</v>
      </c>
    </row>
    <row r="16" spans="1:6" s="3" customFormat="1" x14ac:dyDescent="0.25"/>
    <row r="17" spans="1:4" s="3" customFormat="1" x14ac:dyDescent="0.25"/>
    <row r="18" spans="1:4" s="3" customFormat="1" x14ac:dyDescent="0.25">
      <c r="A18" s="77" t="str">
        <f>IF(D1=1,"City or Town Selected - Use Version A (above)", "Version B - Counties and Metros")</f>
        <v>City or Town Selected - Use Version A (above)</v>
      </c>
      <c r="B18" s="76"/>
      <c r="C18" s="76"/>
    </row>
    <row r="19" spans="1:4" s="3" customFormat="1" x14ac:dyDescent="0.25">
      <c r="A19" s="78" t="s">
        <v>51</v>
      </c>
    </row>
    <row r="20" spans="1:4" s="3" customFormat="1" x14ac:dyDescent="0.25">
      <c r="A20" s="69" t="s">
        <v>53</v>
      </c>
      <c r="B20" s="80">
        <v>1424506179</v>
      </c>
    </row>
    <row r="21" spans="1:4" s="3" customFormat="1" x14ac:dyDescent="0.25">
      <c r="A21" s="69" t="s">
        <v>54</v>
      </c>
      <c r="B21" s="81">
        <v>2.2999999999999998</v>
      </c>
    </row>
    <row r="22" spans="1:4" s="3" customFormat="1" x14ac:dyDescent="0.25">
      <c r="A22" s="69" t="s">
        <v>55</v>
      </c>
      <c r="B22" s="82">
        <v>0.94</v>
      </c>
    </row>
    <row r="23" spans="1:4" s="3" customFormat="1" x14ac:dyDescent="0.25"/>
    <row r="24" spans="1:4" s="3" customFormat="1" x14ac:dyDescent="0.25">
      <c r="A24" s="78" t="s">
        <v>52</v>
      </c>
    </row>
    <row r="25" spans="1:4" s="3" customFormat="1" ht="42.75" x14ac:dyDescent="0.25">
      <c r="A25" s="79" t="s">
        <v>24</v>
      </c>
      <c r="B25" s="88" t="s">
        <v>50</v>
      </c>
      <c r="C25" s="89" t="s">
        <v>43</v>
      </c>
      <c r="D25" s="90" t="s">
        <v>49</v>
      </c>
    </row>
    <row r="26" spans="1:4" s="3" customFormat="1" x14ac:dyDescent="0.25">
      <c r="A26" s="83" t="s">
        <v>147</v>
      </c>
      <c r="B26" s="85">
        <v>0.92</v>
      </c>
      <c r="C26" s="91">
        <f>($B$20/100)*B26</f>
        <v>13105456.846799999</v>
      </c>
      <c r="D26" s="92">
        <f>C26*$B$22</f>
        <v>12319129.435991999</v>
      </c>
    </row>
    <row r="27" spans="1:4" s="3" customFormat="1" x14ac:dyDescent="0.25">
      <c r="A27" s="83" t="s">
        <v>190</v>
      </c>
      <c r="B27" s="81">
        <v>0.16</v>
      </c>
      <c r="C27" s="93">
        <f t="shared" ref="C27:C35" si="0">($B$20/100)*B27</f>
        <v>2279209.8863999997</v>
      </c>
      <c r="D27" s="94">
        <f t="shared" ref="D27:D35" si="1">C27*$B$22</f>
        <v>2142457.2932159998</v>
      </c>
    </row>
    <row r="28" spans="1:4" s="3" customFormat="1" x14ac:dyDescent="0.25">
      <c r="A28" s="83" t="s">
        <v>191</v>
      </c>
      <c r="B28" s="81">
        <v>0.21</v>
      </c>
      <c r="C28" s="93">
        <f t="shared" si="0"/>
        <v>2991462.9758999995</v>
      </c>
      <c r="D28" s="94">
        <f t="shared" si="1"/>
        <v>2811975.1973459995</v>
      </c>
    </row>
    <row r="29" spans="1:4" s="3" customFormat="1" x14ac:dyDescent="0.25">
      <c r="A29" s="83" t="s">
        <v>192</v>
      </c>
      <c r="B29" s="81">
        <v>0.16</v>
      </c>
      <c r="C29" s="93">
        <f t="shared" si="0"/>
        <v>2279209.8863999997</v>
      </c>
      <c r="D29" s="94">
        <f t="shared" si="1"/>
        <v>2142457.2932159998</v>
      </c>
    </row>
    <row r="30" spans="1:4" s="3" customFormat="1" x14ac:dyDescent="0.25">
      <c r="A30" s="83" t="s">
        <v>193</v>
      </c>
      <c r="B30" s="81">
        <v>0.04</v>
      </c>
      <c r="C30" s="93">
        <f t="shared" si="0"/>
        <v>569802.47159999993</v>
      </c>
      <c r="D30" s="94">
        <f t="shared" si="1"/>
        <v>535614.32330399996</v>
      </c>
    </row>
    <row r="31" spans="1:4" s="3" customFormat="1" x14ac:dyDescent="0.25">
      <c r="A31" s="83" t="s">
        <v>194</v>
      </c>
      <c r="B31" s="81">
        <v>0.81</v>
      </c>
      <c r="C31" s="93">
        <f t="shared" si="0"/>
        <v>11538500.049900001</v>
      </c>
      <c r="D31" s="94">
        <f t="shared" si="1"/>
        <v>10846190.046906</v>
      </c>
    </row>
    <row r="32" spans="1:4" s="3" customFormat="1" x14ac:dyDescent="0.25">
      <c r="A32" s="83"/>
      <c r="B32" s="81"/>
      <c r="C32" s="93">
        <f t="shared" si="0"/>
        <v>0</v>
      </c>
      <c r="D32" s="94">
        <f t="shared" si="1"/>
        <v>0</v>
      </c>
    </row>
    <row r="33" spans="1:4" s="3" customFormat="1" x14ac:dyDescent="0.25">
      <c r="A33" s="83"/>
      <c r="B33" s="81"/>
      <c r="C33" s="93">
        <f t="shared" si="0"/>
        <v>0</v>
      </c>
      <c r="D33" s="94">
        <f t="shared" si="1"/>
        <v>0</v>
      </c>
    </row>
    <row r="34" spans="1:4" s="3" customFormat="1" x14ac:dyDescent="0.25">
      <c r="A34" s="83"/>
      <c r="B34" s="81"/>
      <c r="C34" s="93">
        <f t="shared" si="0"/>
        <v>0</v>
      </c>
      <c r="D34" s="94">
        <f t="shared" si="1"/>
        <v>0</v>
      </c>
    </row>
    <row r="35" spans="1:4" s="3" customFormat="1" x14ac:dyDescent="0.25">
      <c r="A35" s="84"/>
      <c r="B35" s="86"/>
      <c r="C35" s="95">
        <f t="shared" si="0"/>
        <v>0</v>
      </c>
      <c r="D35" s="96">
        <f t="shared" si="1"/>
        <v>0</v>
      </c>
    </row>
    <row r="36" spans="1:4" s="3" customFormat="1" x14ac:dyDescent="0.25">
      <c r="A36" s="69" t="s">
        <v>14</v>
      </c>
      <c r="B36" s="87">
        <f>SUM(B26:B35)</f>
        <v>2.2999999999999998</v>
      </c>
      <c r="C36" s="97">
        <f>SUM(C26:C35)</f>
        <v>32763642.116999999</v>
      </c>
      <c r="D36" s="100">
        <f>SUM(D26:D35)</f>
        <v>30797823.589979999</v>
      </c>
    </row>
    <row r="37" spans="1:4" s="3" customFormat="1" x14ac:dyDescent="0.25">
      <c r="B37" s="3" t="str">
        <f>IF(B21=B36,"Sum of penny allocations equal adopted tax rate provided.", "ERROR! Sum of penny allocations do not equal adopted tax rate provided.")</f>
        <v>Sum of penny allocations equal adopted tax rate provided.</v>
      </c>
    </row>
    <row r="38" spans="1:4" s="3" customFormat="1" x14ac:dyDescent="0.25"/>
    <row r="39" spans="1:4" s="3" customFormat="1" x14ac:dyDescent="0.25"/>
    <row r="40" spans="1:4" s="3" customFormat="1" x14ac:dyDescent="0.25"/>
    <row r="41" spans="1:4" s="3" customFormat="1" x14ac:dyDescent="0.25"/>
    <row r="42" spans="1:4" s="3" customFormat="1" x14ac:dyDescent="0.25"/>
  </sheetData>
  <conditionalFormatting sqref="A26:B31">
    <cfRule type="expression" dxfId="16" priority="2">
      <formula>$D$1=1</formula>
    </cfRule>
  </conditionalFormatting>
  <conditionalFormatting sqref="A26:B35">
    <cfRule type="expression" dxfId="15" priority="1">
      <formula>$D$1=1</formula>
    </cfRule>
  </conditionalFormatting>
  <conditionalFormatting sqref="A10:D13">
    <cfRule type="expression" dxfId="14" priority="6">
      <formula>$D$1=2</formula>
    </cfRule>
  </conditionalFormatting>
  <conditionalFormatting sqref="A14:D15">
    <cfRule type="expression" dxfId="13" priority="16">
      <formula>$D$1=2</formula>
    </cfRule>
  </conditionalFormatting>
  <conditionalFormatting sqref="A19:G25">
    <cfRule type="expression" dxfId="12" priority="4">
      <formula>$D$1=1</formula>
    </cfRule>
  </conditionalFormatting>
  <conditionalFormatting sqref="B11:B13">
    <cfRule type="expression" dxfId="11" priority="5">
      <formula>$D$1=2</formula>
    </cfRule>
  </conditionalFormatting>
  <conditionalFormatting sqref="B14:B15">
    <cfRule type="expression" dxfId="10" priority="14">
      <formula>$D$1=2</formula>
    </cfRule>
  </conditionalFormatting>
  <conditionalFormatting sqref="B20:B22">
    <cfRule type="expression" dxfId="9" priority="3">
      <formula>$D$1=1</formula>
    </cfRule>
  </conditionalFormatting>
  <conditionalFormatting sqref="B36:B37">
    <cfRule type="expression" dxfId="8" priority="8">
      <formula>AND($D$1=2,$B$36&lt;&gt;$B$21)</formula>
    </cfRule>
  </conditionalFormatting>
  <conditionalFormatting sqref="B37">
    <cfRule type="expression" dxfId="7" priority="7">
      <formula>$D$1=1</formula>
    </cfRule>
  </conditionalFormatting>
  <conditionalFormatting sqref="B36:D36 C26:D35">
    <cfRule type="expression" dxfId="6" priority="13">
      <formula>$D$1=1</formula>
    </cfRule>
  </conditionalFormatting>
  <conditionalFormatting sqref="C26:G31 A32:G36">
    <cfRule type="expression" dxfId="5" priority="18">
      <formula>$D$1=1</formula>
    </cfRule>
  </conditionalFormatting>
  <pageMargins left="0" right="0" top="0.25" bottom="0.25" header="0.3" footer="0.3"/>
  <pageSetup scale="92" fitToHeight="0" orientation="landscape" verticalDpi="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9" r:id="rId4" name="Option Button 7">
              <controlPr defaultSize="0" autoFill="0" autoLine="0" autoPict="0">
                <anchor moveWithCells="1">
                  <from>
                    <xdr:col>1</xdr:col>
                    <xdr:colOff>1047750</xdr:colOff>
                    <xdr:row>2</xdr:row>
                    <xdr:rowOff>171450</xdr:rowOff>
                  </from>
                  <to>
                    <xdr:col>3</xdr:col>
                    <xdr:colOff>9525</xdr:colOff>
                    <xdr:row>3</xdr:row>
                    <xdr:rowOff>200025</xdr:rowOff>
                  </to>
                </anchor>
              </controlPr>
            </control>
          </mc:Choice>
        </mc:AlternateContent>
        <mc:AlternateContent xmlns:mc="http://schemas.openxmlformats.org/markup-compatibility/2006">
          <mc:Choice Requires="x14">
            <control shapeId="3080" r:id="rId5" name="Option Button 8">
              <controlPr defaultSize="0" autoFill="0" autoLine="0" autoPict="0">
                <anchor moveWithCells="1">
                  <from>
                    <xdr:col>3</xdr:col>
                    <xdr:colOff>19050</xdr:colOff>
                    <xdr:row>2</xdr:row>
                    <xdr:rowOff>171450</xdr:rowOff>
                  </from>
                  <to>
                    <xdr:col>4</xdr:col>
                    <xdr:colOff>19050</xdr:colOff>
                    <xdr:row>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21-B988-4FAA-89B0-14B2F289A822}">
  <sheetPr codeName="Sheet7">
    <tabColor rgb="FF003B5C"/>
    <pageSetUpPr fitToPage="1"/>
  </sheetPr>
  <dimension ref="A1:I454"/>
  <sheetViews>
    <sheetView zoomScaleNormal="100" workbookViewId="0"/>
  </sheetViews>
  <sheetFormatPr defaultRowHeight="15" x14ac:dyDescent="0.25"/>
  <cols>
    <col min="1" max="12" width="15.7109375" style="219" customWidth="1"/>
    <col min="13" max="16384" width="9.140625" style="219"/>
  </cols>
  <sheetData>
    <row r="1" spans="1:5" ht="20.25" x14ac:dyDescent="0.25">
      <c r="A1" s="218" t="s">
        <v>82</v>
      </c>
    </row>
    <row r="2" spans="1:5" ht="18.75" x14ac:dyDescent="0.25">
      <c r="A2" s="220" t="str">
        <f ca="1">_xlfn.CONCAT("Budget Year ", IF(MONTH(TODAY())&gt;8,YEAR(TODAY())+2,YEAR(TODAY())+1))</f>
        <v>Budget Year 2026</v>
      </c>
    </row>
    <row r="3" spans="1:5" s="221" customFormat="1" x14ac:dyDescent="0.25"/>
    <row r="4" spans="1:5" s="221" customFormat="1" ht="18.75" x14ac:dyDescent="0.3">
      <c r="A4" s="222" t="s">
        <v>69</v>
      </c>
    </row>
    <row r="5" spans="1:5" s="221" customFormat="1" x14ac:dyDescent="0.25">
      <c r="A5" s="223" t="s">
        <v>68</v>
      </c>
    </row>
    <row r="6" spans="1:5" s="221" customFormat="1" x14ac:dyDescent="0.25">
      <c r="A6" s="262" t="str">
        <f ca="1">_xlfn.CONCAT("Current Budget Year ", IF(MONTH(TODAY())&gt;8,YEAR(TODAY())+2,YEAR(TODAY())+1)-1)</f>
        <v>Current Budget Year 2025</v>
      </c>
      <c r="B6" s="224"/>
    </row>
    <row r="7" spans="1:5" s="221" customFormat="1" x14ac:dyDescent="0.25">
      <c r="A7" s="263" t="s">
        <v>56</v>
      </c>
      <c r="B7" s="226">
        <v>484215</v>
      </c>
    </row>
    <row r="8" spans="1:5" s="221" customFormat="1" x14ac:dyDescent="0.25">
      <c r="A8" s="263" t="s">
        <v>57</v>
      </c>
      <c r="B8" s="227">
        <v>415823</v>
      </c>
    </row>
    <row r="9" spans="1:5" s="221" customFormat="1" x14ac:dyDescent="0.25">
      <c r="A9" s="263" t="s">
        <v>58</v>
      </c>
      <c r="B9" s="227">
        <v>387154</v>
      </c>
      <c r="E9" s="228"/>
    </row>
    <row r="10" spans="1:5" s="221" customFormat="1" x14ac:dyDescent="0.25">
      <c r="A10" s="263" t="s">
        <v>59</v>
      </c>
      <c r="B10" s="227">
        <v>426985</v>
      </c>
    </row>
    <row r="11" spans="1:5" s="221" customFormat="1" x14ac:dyDescent="0.25">
      <c r="A11" s="263" t="s">
        <v>60</v>
      </c>
      <c r="B11" s="227">
        <v>375184</v>
      </c>
    </row>
    <row r="12" spans="1:5" s="221" customFormat="1" x14ac:dyDescent="0.25">
      <c r="A12" s="263" t="s">
        <v>61</v>
      </c>
      <c r="B12" s="227">
        <v>451621</v>
      </c>
    </row>
    <row r="13" spans="1:5" s="221" customFormat="1" x14ac:dyDescent="0.25">
      <c r="A13" s="263" t="s">
        <v>62</v>
      </c>
      <c r="B13" s="227">
        <v>425871</v>
      </c>
      <c r="E13" s="229"/>
    </row>
    <row r="14" spans="1:5" s="221" customFormat="1" x14ac:dyDescent="0.25">
      <c r="A14" s="263" t="s">
        <v>63</v>
      </c>
      <c r="B14" s="227">
        <v>430001</v>
      </c>
    </row>
    <row r="15" spans="1:5" s="221" customFormat="1" x14ac:dyDescent="0.25">
      <c r="A15" s="263" t="s">
        <v>64</v>
      </c>
      <c r="B15" s="227">
        <v>381254</v>
      </c>
      <c r="E15" s="229"/>
    </row>
    <row r="16" spans="1:5" s="221" customFormat="1" x14ac:dyDescent="0.25">
      <c r="A16" s="263" t="s">
        <v>65</v>
      </c>
      <c r="B16" s="227">
        <v>450287</v>
      </c>
      <c r="E16" s="230"/>
    </row>
    <row r="17" spans="1:8" s="221" customFormat="1" x14ac:dyDescent="0.25">
      <c r="A17" s="263" t="s">
        <v>66</v>
      </c>
      <c r="B17" s="227">
        <v>421541</v>
      </c>
    </row>
    <row r="18" spans="1:8" s="221" customFormat="1" x14ac:dyDescent="0.25">
      <c r="A18" s="264" t="s">
        <v>67</v>
      </c>
      <c r="B18" s="231">
        <v>473515</v>
      </c>
      <c r="E18" s="229"/>
    </row>
    <row r="19" spans="1:8" s="221" customFormat="1" x14ac:dyDescent="0.25">
      <c r="A19" s="232" t="s">
        <v>14</v>
      </c>
      <c r="B19" s="233">
        <f>SUM(B7:B18)</f>
        <v>5123451</v>
      </c>
    </row>
    <row r="20" spans="1:8" s="221" customFormat="1" x14ac:dyDescent="0.25"/>
    <row r="21" spans="1:8" s="221" customFormat="1" ht="18.75" x14ac:dyDescent="0.3">
      <c r="A21" s="222" t="s">
        <v>70</v>
      </c>
    </row>
    <row r="22" spans="1:8" s="221" customFormat="1" x14ac:dyDescent="0.25">
      <c r="A22" s="223" t="s">
        <v>71</v>
      </c>
    </row>
    <row r="23" spans="1:8" s="221" customFormat="1" x14ac:dyDescent="0.25">
      <c r="A23" s="265" t="s">
        <v>72</v>
      </c>
      <c r="B23" s="234"/>
    </row>
    <row r="24" spans="1:8" s="221" customFormat="1" x14ac:dyDescent="0.25">
      <c r="A24" s="263">
        <f ca="1">IF(MONTH(TODAY())&gt;8,YEAR(TODAY())+2,YEAR(TODAY())+1)-2</f>
        <v>2024</v>
      </c>
      <c r="B24" s="226">
        <v>5020926</v>
      </c>
    </row>
    <row r="25" spans="1:8" s="221" customFormat="1" x14ac:dyDescent="0.25">
      <c r="A25" s="263">
        <f ca="1">A24-1</f>
        <v>2023</v>
      </c>
      <c r="B25" s="227">
        <v>4736156</v>
      </c>
    </row>
    <row r="26" spans="1:8" s="221" customFormat="1" x14ac:dyDescent="0.25">
      <c r="A26" s="263">
        <f ca="1">A25-1</f>
        <v>2022</v>
      </c>
      <c r="B26" s="227">
        <v>4262018</v>
      </c>
    </row>
    <row r="27" spans="1:8" s="221" customFormat="1" x14ac:dyDescent="0.25">
      <c r="A27" s="263">
        <f ca="1">A26-1</f>
        <v>2021</v>
      </c>
      <c r="B27" s="227">
        <v>3701709</v>
      </c>
    </row>
    <row r="28" spans="1:8" s="221" customFormat="1" x14ac:dyDescent="0.25">
      <c r="A28" s="263">
        <f ca="1">A27-1</f>
        <v>2020</v>
      </c>
      <c r="B28" s="227">
        <v>3473617</v>
      </c>
    </row>
    <row r="29" spans="1:8" s="221" customFormat="1" x14ac:dyDescent="0.25">
      <c r="A29" s="264">
        <f ca="1">A28-1</f>
        <v>2019</v>
      </c>
      <c r="B29" s="231">
        <v>3382001</v>
      </c>
    </row>
    <row r="30" spans="1:8" s="221" customFormat="1" x14ac:dyDescent="0.25"/>
    <row r="31" spans="1:8" s="221" customFormat="1" ht="18.75" x14ac:dyDescent="0.25">
      <c r="A31" s="235" t="s">
        <v>73</v>
      </c>
      <c r="G31" s="236"/>
    </row>
    <row r="32" spans="1:8" s="221" customFormat="1" x14ac:dyDescent="0.25">
      <c r="A32" s="223" t="s">
        <v>79</v>
      </c>
      <c r="G32" s="236"/>
      <c r="H32" s="237" t="s">
        <v>77</v>
      </c>
    </row>
    <row r="33" spans="1:9" s="221" customFormat="1" x14ac:dyDescent="0.25">
      <c r="A33" s="238"/>
      <c r="B33" s="238">
        <f t="shared" ref="B33:G33" ca="1" si="0">C33-1</f>
        <v>2019</v>
      </c>
      <c r="C33" s="238">
        <f t="shared" ca="1" si="0"/>
        <v>2020</v>
      </c>
      <c r="D33" s="238">
        <f t="shared" ca="1" si="0"/>
        <v>2021</v>
      </c>
      <c r="E33" s="238">
        <f t="shared" ca="1" si="0"/>
        <v>2022</v>
      </c>
      <c r="F33" s="238">
        <f t="shared" ca="1" si="0"/>
        <v>2023</v>
      </c>
      <c r="G33" s="238">
        <f t="shared" ca="1" si="0"/>
        <v>2024</v>
      </c>
      <c r="H33" s="239">
        <f ca="1">IF(MONTH(TODAY())&gt;8,YEAR(TODAY())+2,YEAR(TODAY())+1)-1</f>
        <v>2025</v>
      </c>
      <c r="I33" s="225"/>
    </row>
    <row r="34" spans="1:9" s="221" customFormat="1" ht="30" x14ac:dyDescent="0.25">
      <c r="A34" s="266" t="s">
        <v>74</v>
      </c>
      <c r="B34" s="267">
        <f>B29</f>
        <v>3382001</v>
      </c>
      <c r="C34" s="267">
        <f>B28</f>
        <v>3473617</v>
      </c>
      <c r="D34" s="267">
        <f>B27</f>
        <v>3701709</v>
      </c>
      <c r="E34" s="267">
        <f>B26</f>
        <v>4262018</v>
      </c>
      <c r="F34" s="267">
        <f>B25</f>
        <v>4736156</v>
      </c>
      <c r="G34" s="267">
        <f>B24</f>
        <v>5020926</v>
      </c>
      <c r="H34" s="267">
        <f>B19</f>
        <v>5123451</v>
      </c>
      <c r="I34" s="225"/>
    </row>
    <row r="35" spans="1:9" s="221" customFormat="1" ht="30" x14ac:dyDescent="0.25">
      <c r="A35" s="240" t="s">
        <v>75</v>
      </c>
      <c r="B35" s="241" t="s">
        <v>76</v>
      </c>
      <c r="C35" s="242">
        <f t="shared" ref="C35:H35" si="1">(C34-B34)/B34</f>
        <v>2.7089288264551075E-2</v>
      </c>
      <c r="D35" s="242">
        <f t="shared" si="1"/>
        <v>6.5664118986059769E-2</v>
      </c>
      <c r="E35" s="242">
        <f t="shared" si="1"/>
        <v>0.15136495062145619</v>
      </c>
      <c r="F35" s="242">
        <f t="shared" si="1"/>
        <v>0.11124730116109317</v>
      </c>
      <c r="G35" s="242">
        <f t="shared" si="1"/>
        <v>6.0126820146971509E-2</v>
      </c>
      <c r="H35" s="242">
        <f t="shared" si="1"/>
        <v>2.0419540140603546E-2</v>
      </c>
      <c r="I35" s="243"/>
    </row>
    <row r="36" spans="1:9" s="221" customFormat="1" x14ac:dyDescent="0.25">
      <c r="B36" s="255"/>
      <c r="C36" s="255"/>
      <c r="D36" s="255"/>
      <c r="E36" s="255"/>
      <c r="F36" s="255"/>
      <c r="G36" s="255"/>
      <c r="H36" s="255"/>
      <c r="I36" s="253">
        <f>F54</f>
        <v>5328389.04</v>
      </c>
    </row>
    <row r="37" spans="1:9" s="221" customFormat="1" x14ac:dyDescent="0.25">
      <c r="B37" s="255"/>
      <c r="C37" s="255"/>
      <c r="D37" s="255"/>
      <c r="E37" s="255"/>
      <c r="F37" s="255"/>
      <c r="G37" s="255"/>
      <c r="H37" s="256">
        <f>H34</f>
        <v>5123451</v>
      </c>
      <c r="I37" s="254">
        <f>I36</f>
        <v>5328389.04</v>
      </c>
    </row>
    <row r="38" spans="1:9" s="221" customFormat="1" x14ac:dyDescent="0.25">
      <c r="A38" s="268" t="str">
        <f ca="1">_xlfn.CONCAT("6 Year Growth Rate (Average Year over Year ",B33," - ",$H$33, ")  ")</f>
        <v xml:space="preserve">6 Year Growth Rate (Average Year over Year 2019 - 2025)  </v>
      </c>
      <c r="B38" s="268"/>
      <c r="C38" s="268"/>
      <c r="D38" s="268"/>
      <c r="E38" s="269">
        <f>AVERAGE(C35:H35)</f>
        <v>7.2652003220122538E-2</v>
      </c>
    </row>
    <row r="39" spans="1:9" s="221" customFormat="1" x14ac:dyDescent="0.25">
      <c r="A39" s="268" t="str">
        <f ca="1">_xlfn.CONCAT("5 Year Growth Rate (Average Year over Year ",C33," - ",$H$33,")  ")</f>
        <v xml:space="preserve">5 Year Growth Rate (Average Year over Year 2020 - 2025)  </v>
      </c>
      <c r="B39" s="268"/>
      <c r="C39" s="268"/>
      <c r="D39" s="268"/>
      <c r="E39" s="269">
        <f>AVERAGE(D35:H35)</f>
        <v>8.1764546211236827E-2</v>
      </c>
    </row>
    <row r="40" spans="1:9" s="221" customFormat="1" x14ac:dyDescent="0.25">
      <c r="A40" s="268" t="str">
        <f ca="1">_xlfn.CONCAT("4 Year Growth Rate (Average Year over Year ",D33," - ",$H$33,")  ")</f>
        <v xml:space="preserve">4 Year Growth Rate (Average Year over Year 2021 - 2025)  </v>
      </c>
      <c r="B40" s="268"/>
      <c r="C40" s="268"/>
      <c r="D40" s="268"/>
      <c r="E40" s="269">
        <f>AVERAGE(E35:H35)</f>
        <v>8.5789653017531109E-2</v>
      </c>
    </row>
    <row r="41" spans="1:9" s="221" customFormat="1" x14ac:dyDescent="0.25">
      <c r="A41" s="268" t="str">
        <f ca="1">_xlfn.CONCAT("3 Year Growth Rate (Average Year over Year ",E33," - ",$H$33,")  ")</f>
        <v xml:space="preserve">3 Year Growth Rate (Average Year over Year 2022 - 2025)  </v>
      </c>
      <c r="B41" s="268"/>
      <c r="C41" s="268"/>
      <c r="D41" s="268"/>
      <c r="E41" s="269">
        <f>AVERAGE(F35:H35)</f>
        <v>6.3931220482889406E-2</v>
      </c>
    </row>
    <row r="42" spans="1:9" s="221" customFormat="1" x14ac:dyDescent="0.25">
      <c r="A42" s="268" t="str">
        <f ca="1">_xlfn.CONCAT("2 Year Growth Rate (Average Year over Year ",F33," - ",$H$33,")  ")</f>
        <v xml:space="preserve">2 Year Growth Rate (Average Year over Year 2023 - 2025)  </v>
      </c>
      <c r="B42" s="268"/>
      <c r="C42" s="268"/>
      <c r="D42" s="268"/>
      <c r="E42" s="269">
        <f>AVERAGE(G35:H35)</f>
        <v>4.0273180143787529E-2</v>
      </c>
    </row>
    <row r="43" spans="1:9" s="221" customFormat="1" x14ac:dyDescent="0.25">
      <c r="B43" s="255">
        <f ca="1">B33</f>
        <v>2019</v>
      </c>
      <c r="C43" s="255">
        <f ca="1">B43+1</f>
        <v>2020</v>
      </c>
      <c r="D43" s="255">
        <f t="shared" ref="D43:G43" ca="1" si="2">C43+1</f>
        <v>2021</v>
      </c>
      <c r="E43" s="255">
        <f t="shared" ca="1" si="2"/>
        <v>2022</v>
      </c>
      <c r="F43" s="255">
        <f t="shared" ca="1" si="2"/>
        <v>2023</v>
      </c>
      <c r="G43" s="255">
        <f t="shared" ca="1" si="2"/>
        <v>2024</v>
      </c>
      <c r="H43" s="255" t="str">
        <f ca="1">_xlfn.CONCAT(H33, CHAR(10), "Estimated Actual")</f>
        <v>2025
Estimated Actual</v>
      </c>
      <c r="I43" s="255" t="str">
        <f ca="1">_xlfn.CONCAT(H33+1, CHAR(10), "Budget")</f>
        <v>2026
Budget</v>
      </c>
    </row>
    <row r="44" spans="1:9" s="221" customFormat="1" ht="18.75" x14ac:dyDescent="0.3">
      <c r="A44" s="222" t="s">
        <v>78</v>
      </c>
    </row>
    <row r="45" spans="1:9" s="221" customFormat="1" x14ac:dyDescent="0.25">
      <c r="A45" s="223" t="s">
        <v>80</v>
      </c>
    </row>
    <row r="46" spans="1:9" s="221" customFormat="1" x14ac:dyDescent="0.25">
      <c r="A46" s="223" t="s">
        <v>144</v>
      </c>
    </row>
    <row r="47" spans="1:9" s="221" customFormat="1" ht="30.75" thickBot="1" x14ac:dyDescent="0.3">
      <c r="D47" s="245" t="s">
        <v>145</v>
      </c>
      <c r="E47" s="225"/>
    </row>
    <row r="48" spans="1:9" s="221" customFormat="1" ht="15.75" thickBot="1" x14ac:dyDescent="0.3">
      <c r="A48" s="246" t="s">
        <v>197</v>
      </c>
      <c r="B48" s="246"/>
      <c r="C48" s="247"/>
      <c r="D48" s="248">
        <v>0.04</v>
      </c>
      <c r="E48" s="249"/>
    </row>
    <row r="49" spans="1:9" s="221" customFormat="1" x14ac:dyDescent="0.25"/>
    <row r="50" spans="1:9" s="221" customFormat="1" x14ac:dyDescent="0.25">
      <c r="D50" s="250" t="s">
        <v>81</v>
      </c>
      <c r="E50" s="250"/>
      <c r="F50" s="250"/>
    </row>
    <row r="51" spans="1:9" s="221" customFormat="1" x14ac:dyDescent="0.25">
      <c r="D51" s="244" t="str">
        <f ca="1">_xlfn.CONCAT("Partially Estimated ",H33)</f>
        <v>Partially Estimated 2025</v>
      </c>
      <c r="E51" s="244"/>
      <c r="F51" s="251">
        <f>B19</f>
        <v>5123451</v>
      </c>
    </row>
    <row r="52" spans="1:9" s="221" customFormat="1" x14ac:dyDescent="0.25">
      <c r="D52" s="244" t="s">
        <v>146</v>
      </c>
      <c r="E52" s="244"/>
      <c r="F52" s="252">
        <f>D48</f>
        <v>0.04</v>
      </c>
    </row>
    <row r="53" spans="1:9" s="221" customFormat="1" x14ac:dyDescent="0.25"/>
    <row r="54" spans="1:9" s="221" customFormat="1" ht="18.75" x14ac:dyDescent="0.3">
      <c r="A54" s="258" t="str">
        <f ca="1">_xlfn.CONCAT("Forecasted Sales Tax Revenue for Budget Year ",H33+1)</f>
        <v>Forecasted Sales Tax Revenue for Budget Year 2026</v>
      </c>
      <c r="B54" s="259"/>
      <c r="C54" s="259"/>
      <c r="D54" s="259"/>
      <c r="E54" s="259"/>
      <c r="F54" s="260">
        <f>F51*(1+F52)</f>
        <v>5328389.04</v>
      </c>
      <c r="G54" s="261"/>
      <c r="H54" s="257"/>
      <c r="I54" s="257"/>
    </row>
    <row r="55" spans="1:9" s="221" customFormat="1" x14ac:dyDescent="0.25"/>
    <row r="56" spans="1:9" s="221" customFormat="1" x14ac:dyDescent="0.25"/>
    <row r="57" spans="1:9" s="221" customFormat="1" x14ac:dyDescent="0.25"/>
    <row r="58" spans="1:9" s="221" customFormat="1" x14ac:dyDescent="0.25"/>
    <row r="59" spans="1:9" s="221" customFormat="1" x14ac:dyDescent="0.25"/>
    <row r="60" spans="1:9" s="221" customFormat="1" x14ac:dyDescent="0.25"/>
    <row r="61" spans="1:9" s="221" customFormat="1" x14ac:dyDescent="0.25"/>
    <row r="62" spans="1:9" s="221" customFormat="1" x14ac:dyDescent="0.25"/>
    <row r="63" spans="1:9" s="221" customFormat="1" x14ac:dyDescent="0.25"/>
    <row r="64" spans="1:9" s="221" customFormat="1" x14ac:dyDescent="0.25"/>
    <row r="65" s="221" customFormat="1" x14ac:dyDescent="0.25"/>
    <row r="66" s="221" customFormat="1" x14ac:dyDescent="0.25"/>
    <row r="67" s="221" customFormat="1" x14ac:dyDescent="0.25"/>
    <row r="68" s="221" customFormat="1" x14ac:dyDescent="0.25"/>
    <row r="69" s="221" customFormat="1" x14ac:dyDescent="0.25"/>
    <row r="70" s="221" customFormat="1" x14ac:dyDescent="0.25"/>
    <row r="71" s="221" customFormat="1" x14ac:dyDescent="0.25"/>
    <row r="72" s="221" customFormat="1" x14ac:dyDescent="0.25"/>
    <row r="73" s="221" customFormat="1" x14ac:dyDescent="0.25"/>
    <row r="74" s="221" customFormat="1" x14ac:dyDescent="0.25"/>
    <row r="75" s="221" customFormat="1" x14ac:dyDescent="0.25"/>
    <row r="76" s="221" customFormat="1" x14ac:dyDescent="0.25"/>
    <row r="77" s="221" customFormat="1" x14ac:dyDescent="0.25"/>
    <row r="78" s="221" customFormat="1" x14ac:dyDescent="0.25"/>
    <row r="79" s="221" customFormat="1" x14ac:dyDescent="0.25"/>
    <row r="80" s="221" customFormat="1" x14ac:dyDescent="0.25"/>
    <row r="81" s="221" customFormat="1" x14ac:dyDescent="0.25"/>
    <row r="82" s="221" customFormat="1" x14ac:dyDescent="0.25"/>
    <row r="83" s="221" customFormat="1" x14ac:dyDescent="0.25"/>
    <row r="84" s="221" customFormat="1" x14ac:dyDescent="0.25"/>
    <row r="85" s="221" customFormat="1" x14ac:dyDescent="0.25"/>
    <row r="86" s="221" customFormat="1" x14ac:dyDescent="0.25"/>
    <row r="87" s="221" customFormat="1" x14ac:dyDescent="0.25"/>
    <row r="88" s="221" customFormat="1" x14ac:dyDescent="0.25"/>
    <row r="89" s="221" customFormat="1" x14ac:dyDescent="0.25"/>
    <row r="90" s="221" customFormat="1" x14ac:dyDescent="0.25"/>
    <row r="91" s="221" customFormat="1" x14ac:dyDescent="0.25"/>
    <row r="92" s="221" customFormat="1" x14ac:dyDescent="0.25"/>
    <row r="93" s="221" customFormat="1" x14ac:dyDescent="0.25"/>
    <row r="94" s="221" customFormat="1" x14ac:dyDescent="0.25"/>
    <row r="95" s="221" customFormat="1" x14ac:dyDescent="0.25"/>
    <row r="96" s="221" customFormat="1" x14ac:dyDescent="0.25"/>
    <row r="97" s="221" customFormat="1" x14ac:dyDescent="0.25"/>
    <row r="98" s="221" customFormat="1" x14ac:dyDescent="0.25"/>
    <row r="99" s="221" customFormat="1" x14ac:dyDescent="0.25"/>
    <row r="100" s="221" customFormat="1" x14ac:dyDescent="0.25"/>
    <row r="101" s="221" customFormat="1" x14ac:dyDescent="0.25"/>
    <row r="102" s="221" customFormat="1" x14ac:dyDescent="0.25"/>
    <row r="103" s="221" customFormat="1" x14ac:dyDescent="0.25"/>
    <row r="104" s="221" customFormat="1" x14ac:dyDescent="0.25"/>
    <row r="105" s="221" customFormat="1" x14ac:dyDescent="0.25"/>
    <row r="106" s="221" customFormat="1" x14ac:dyDescent="0.25"/>
    <row r="107" s="221" customFormat="1" x14ac:dyDescent="0.25"/>
    <row r="108" s="221" customFormat="1" x14ac:dyDescent="0.25"/>
    <row r="109" s="221" customFormat="1" x14ac:dyDescent="0.25"/>
    <row r="110" s="221" customFormat="1" x14ac:dyDescent="0.25"/>
    <row r="111" s="221" customFormat="1" x14ac:dyDescent="0.25"/>
    <row r="112" s="221" customFormat="1" x14ac:dyDescent="0.25"/>
    <row r="113" s="221" customFormat="1" x14ac:dyDescent="0.25"/>
    <row r="114" s="221" customFormat="1" x14ac:dyDescent="0.25"/>
    <row r="115" s="221" customFormat="1" x14ac:dyDescent="0.25"/>
    <row r="116" s="221" customFormat="1" x14ac:dyDescent="0.25"/>
    <row r="117" s="221" customFormat="1" x14ac:dyDescent="0.25"/>
    <row r="118" s="221" customFormat="1" x14ac:dyDescent="0.25"/>
    <row r="119" s="221" customFormat="1" x14ac:dyDescent="0.25"/>
    <row r="120" s="221" customFormat="1" x14ac:dyDescent="0.25"/>
    <row r="121" s="221" customFormat="1" x14ac:dyDescent="0.25"/>
    <row r="122" s="221" customFormat="1" x14ac:dyDescent="0.25"/>
    <row r="123" s="221" customFormat="1" x14ac:dyDescent="0.25"/>
    <row r="124" s="221" customFormat="1" x14ac:dyDescent="0.25"/>
    <row r="125" s="221" customFormat="1" x14ac:dyDescent="0.25"/>
    <row r="126" s="221" customFormat="1" x14ac:dyDescent="0.25"/>
    <row r="127" s="221" customFormat="1" x14ac:dyDescent="0.25"/>
    <row r="128" s="221" customFormat="1" x14ac:dyDescent="0.25"/>
    <row r="129" s="221" customFormat="1" x14ac:dyDescent="0.25"/>
    <row r="130" s="221" customFormat="1" x14ac:dyDescent="0.25"/>
    <row r="131" s="221" customFormat="1" x14ac:dyDescent="0.25"/>
    <row r="132" s="221" customFormat="1" x14ac:dyDescent="0.25"/>
    <row r="133" s="221" customFormat="1" x14ac:dyDescent="0.25"/>
    <row r="134" s="221" customFormat="1" x14ac:dyDescent="0.25"/>
    <row r="135" s="221" customFormat="1" x14ac:dyDescent="0.25"/>
    <row r="136" s="221" customFormat="1" x14ac:dyDescent="0.25"/>
    <row r="137" s="221" customFormat="1" x14ac:dyDescent="0.25"/>
    <row r="138" s="221" customFormat="1" x14ac:dyDescent="0.25"/>
    <row r="139" s="221" customFormat="1" x14ac:dyDescent="0.25"/>
    <row r="140" s="221" customFormat="1" x14ac:dyDescent="0.25"/>
    <row r="141" s="221" customFormat="1" x14ac:dyDescent="0.25"/>
    <row r="142" s="221" customFormat="1" x14ac:dyDescent="0.25"/>
    <row r="143" s="221" customFormat="1" x14ac:dyDescent="0.25"/>
    <row r="144" s="221" customFormat="1" x14ac:dyDescent="0.25"/>
    <row r="145" s="221" customFormat="1" x14ac:dyDescent="0.25"/>
    <row r="146" s="221" customFormat="1" x14ac:dyDescent="0.25"/>
    <row r="147" s="221" customFormat="1" x14ac:dyDescent="0.25"/>
    <row r="148" s="221" customFormat="1" x14ac:dyDescent="0.25"/>
    <row r="149" s="221" customFormat="1" x14ac:dyDescent="0.25"/>
    <row r="150" s="221" customFormat="1" x14ac:dyDescent="0.25"/>
    <row r="151" s="221" customFormat="1" x14ac:dyDescent="0.25"/>
    <row r="152" s="221" customFormat="1" x14ac:dyDescent="0.25"/>
    <row r="153" s="221" customFormat="1" x14ac:dyDescent="0.25"/>
    <row r="154" s="221" customFormat="1" x14ac:dyDescent="0.25"/>
    <row r="155" s="221" customFormat="1" x14ac:dyDescent="0.25"/>
    <row r="156" s="221" customFormat="1" x14ac:dyDescent="0.25"/>
    <row r="157" s="221" customFormat="1" x14ac:dyDescent="0.25"/>
    <row r="158" s="221" customFormat="1" x14ac:dyDescent="0.25"/>
    <row r="159" s="221" customFormat="1" x14ac:dyDescent="0.25"/>
    <row r="160" s="221" customFormat="1" x14ac:dyDescent="0.25"/>
    <row r="161" s="221" customFormat="1" x14ac:dyDescent="0.25"/>
    <row r="162" s="221" customFormat="1" x14ac:dyDescent="0.25"/>
    <row r="163" s="221" customFormat="1" x14ac:dyDescent="0.25"/>
    <row r="164" s="221" customFormat="1" x14ac:dyDescent="0.25"/>
    <row r="165" s="221" customFormat="1" x14ac:dyDescent="0.25"/>
    <row r="166" s="221" customFormat="1" x14ac:dyDescent="0.25"/>
    <row r="167" s="221" customFormat="1" x14ac:dyDescent="0.25"/>
    <row r="168" s="221" customFormat="1" x14ac:dyDescent="0.25"/>
    <row r="169" s="221" customFormat="1" x14ac:dyDescent="0.25"/>
    <row r="170" s="221" customFormat="1" x14ac:dyDescent="0.25"/>
    <row r="171" s="221" customFormat="1" x14ac:dyDescent="0.25"/>
    <row r="172" s="221" customFormat="1" x14ac:dyDescent="0.25"/>
    <row r="173" s="221" customFormat="1" x14ac:dyDescent="0.25"/>
    <row r="174" s="221" customFormat="1" x14ac:dyDescent="0.25"/>
    <row r="175" s="221" customFormat="1" x14ac:dyDescent="0.25"/>
    <row r="176" s="221" customFormat="1" x14ac:dyDescent="0.25"/>
    <row r="177" s="221" customFormat="1" x14ac:dyDescent="0.25"/>
    <row r="178" s="221" customFormat="1" x14ac:dyDescent="0.25"/>
    <row r="179" s="221" customFormat="1" x14ac:dyDescent="0.25"/>
    <row r="180" s="221" customFormat="1" x14ac:dyDescent="0.25"/>
    <row r="181" s="221" customFormat="1" x14ac:dyDescent="0.25"/>
    <row r="182" s="221" customFormat="1" x14ac:dyDescent="0.25"/>
    <row r="183" s="221" customFormat="1" x14ac:dyDescent="0.25"/>
    <row r="184" s="221" customFormat="1" x14ac:dyDescent="0.25"/>
    <row r="185" s="221" customFormat="1" x14ac:dyDescent="0.25"/>
    <row r="186" s="221" customFormat="1" x14ac:dyDescent="0.25"/>
    <row r="187" s="221" customFormat="1" x14ac:dyDescent="0.25"/>
    <row r="188" s="221" customFormat="1" x14ac:dyDescent="0.25"/>
    <row r="189" s="221" customFormat="1" x14ac:dyDescent="0.25"/>
    <row r="190" s="221" customFormat="1" x14ac:dyDescent="0.25"/>
    <row r="191" s="221" customFormat="1" x14ac:dyDescent="0.25"/>
    <row r="192" s="221" customFormat="1" x14ac:dyDescent="0.25"/>
    <row r="193" s="221" customFormat="1" x14ac:dyDescent="0.25"/>
    <row r="194" s="221" customFormat="1" x14ac:dyDescent="0.25"/>
    <row r="195" s="221" customFormat="1" x14ac:dyDescent="0.25"/>
    <row r="196" s="221" customFormat="1" x14ac:dyDescent="0.25"/>
    <row r="197" s="221" customFormat="1" x14ac:dyDescent="0.25"/>
    <row r="198" s="221" customFormat="1" x14ac:dyDescent="0.25"/>
    <row r="199" s="221" customFormat="1" x14ac:dyDescent="0.25"/>
    <row r="200" s="221" customFormat="1" x14ac:dyDescent="0.25"/>
    <row r="201" s="221" customFormat="1" x14ac:dyDescent="0.25"/>
    <row r="202" s="221" customFormat="1" x14ac:dyDescent="0.25"/>
    <row r="203" s="221" customFormat="1" x14ac:dyDescent="0.25"/>
    <row r="204" s="221" customFormat="1" x14ac:dyDescent="0.25"/>
    <row r="205" s="221" customFormat="1" x14ac:dyDescent="0.25"/>
    <row r="206" s="221" customFormat="1" x14ac:dyDescent="0.25"/>
    <row r="207" s="221" customFormat="1" x14ac:dyDescent="0.25"/>
    <row r="208" s="221" customFormat="1" x14ac:dyDescent="0.25"/>
    <row r="209" s="221" customFormat="1" x14ac:dyDescent="0.25"/>
    <row r="210" s="221" customFormat="1" x14ac:dyDescent="0.25"/>
    <row r="211" s="221" customFormat="1" x14ac:dyDescent="0.25"/>
    <row r="212" s="221" customFormat="1" x14ac:dyDescent="0.25"/>
    <row r="213" s="221" customFormat="1" x14ac:dyDescent="0.25"/>
    <row r="214" s="221" customFormat="1" x14ac:dyDescent="0.25"/>
    <row r="215" s="221" customFormat="1" x14ac:dyDescent="0.25"/>
    <row r="216" s="221" customFormat="1" x14ac:dyDescent="0.25"/>
    <row r="217" s="221" customFormat="1" x14ac:dyDescent="0.25"/>
    <row r="218" s="221" customFormat="1" x14ac:dyDescent="0.25"/>
    <row r="219" s="221" customFormat="1" x14ac:dyDescent="0.25"/>
    <row r="220" s="221" customFormat="1" x14ac:dyDescent="0.25"/>
    <row r="221" s="221" customFormat="1" x14ac:dyDescent="0.25"/>
    <row r="222" s="221" customFormat="1" x14ac:dyDescent="0.25"/>
    <row r="223" s="221" customFormat="1" x14ac:dyDescent="0.25"/>
    <row r="224" s="221" customFormat="1" x14ac:dyDescent="0.25"/>
    <row r="225" s="221" customFormat="1" x14ac:dyDescent="0.25"/>
    <row r="226" s="221" customFormat="1" x14ac:dyDescent="0.25"/>
    <row r="227" s="221" customFormat="1" x14ac:dyDescent="0.25"/>
    <row r="228" s="221" customFormat="1" x14ac:dyDescent="0.25"/>
    <row r="229" s="221" customFormat="1" x14ac:dyDescent="0.25"/>
    <row r="230" s="221" customFormat="1" x14ac:dyDescent="0.25"/>
    <row r="231" s="221" customFormat="1" x14ac:dyDescent="0.25"/>
    <row r="232" s="221" customFormat="1" x14ac:dyDescent="0.25"/>
    <row r="233" s="221" customFormat="1" x14ac:dyDescent="0.25"/>
    <row r="234" s="221" customFormat="1" x14ac:dyDescent="0.25"/>
    <row r="235" s="221" customFormat="1" x14ac:dyDescent="0.25"/>
    <row r="236" s="221" customFormat="1" x14ac:dyDescent="0.25"/>
    <row r="237" s="221" customFormat="1" x14ac:dyDescent="0.25"/>
    <row r="238" s="221" customFormat="1" x14ac:dyDescent="0.25"/>
    <row r="239" s="221" customFormat="1" x14ac:dyDescent="0.25"/>
    <row r="240" s="221" customFormat="1" x14ac:dyDescent="0.25"/>
    <row r="241" s="221" customFormat="1" x14ac:dyDescent="0.25"/>
    <row r="242" s="221" customFormat="1" x14ac:dyDescent="0.25"/>
    <row r="243" s="221" customFormat="1" x14ac:dyDescent="0.25"/>
    <row r="244" s="221" customFormat="1" x14ac:dyDescent="0.25"/>
    <row r="245" s="221" customFormat="1" x14ac:dyDescent="0.25"/>
    <row r="246" s="221" customFormat="1" x14ac:dyDescent="0.25"/>
    <row r="247" s="221" customFormat="1" x14ac:dyDescent="0.25"/>
    <row r="248" s="221" customFormat="1" x14ac:dyDescent="0.25"/>
    <row r="249" s="221" customFormat="1" x14ac:dyDescent="0.25"/>
    <row r="250" s="221" customFormat="1" x14ac:dyDescent="0.25"/>
    <row r="251" s="221" customFormat="1" x14ac:dyDescent="0.25"/>
    <row r="252" s="221" customFormat="1" x14ac:dyDescent="0.25"/>
    <row r="253" s="221" customFormat="1" x14ac:dyDescent="0.25"/>
    <row r="254" s="221" customFormat="1" x14ac:dyDescent="0.25"/>
    <row r="255" s="221" customFormat="1" x14ac:dyDescent="0.25"/>
    <row r="256" s="221" customFormat="1" x14ac:dyDescent="0.25"/>
    <row r="257" s="221" customFormat="1" x14ac:dyDescent="0.25"/>
    <row r="258" s="221" customFormat="1" x14ac:dyDescent="0.25"/>
    <row r="259" s="221" customFormat="1" x14ac:dyDescent="0.25"/>
    <row r="260" s="221" customFormat="1" x14ac:dyDescent="0.25"/>
    <row r="261" s="221" customFormat="1" x14ac:dyDescent="0.25"/>
    <row r="262" s="221" customFormat="1" x14ac:dyDescent="0.25"/>
    <row r="263" s="221" customFormat="1" x14ac:dyDescent="0.25"/>
    <row r="264" s="221" customFormat="1" x14ac:dyDescent="0.25"/>
    <row r="265" s="221" customFormat="1" x14ac:dyDescent="0.25"/>
    <row r="266" s="221" customFormat="1" x14ac:dyDescent="0.25"/>
    <row r="267" s="221" customFormat="1" x14ac:dyDescent="0.25"/>
    <row r="268" s="221" customFormat="1" x14ac:dyDescent="0.25"/>
    <row r="269" s="221" customFormat="1" x14ac:dyDescent="0.25"/>
    <row r="270" s="221" customFormat="1" x14ac:dyDescent="0.25"/>
    <row r="271" s="221" customFormat="1" x14ac:dyDescent="0.25"/>
    <row r="272" s="221" customFormat="1" x14ac:dyDescent="0.25"/>
    <row r="273" s="221" customFormat="1" x14ac:dyDescent="0.25"/>
    <row r="274" s="221" customFormat="1" x14ac:dyDescent="0.25"/>
    <row r="275" s="221" customFormat="1" x14ac:dyDescent="0.25"/>
    <row r="276" s="221" customFormat="1" x14ac:dyDescent="0.25"/>
    <row r="277" s="221" customFormat="1" x14ac:dyDescent="0.25"/>
    <row r="278" s="221" customFormat="1" x14ac:dyDescent="0.25"/>
    <row r="279" s="221" customFormat="1" x14ac:dyDescent="0.25"/>
    <row r="280" s="221" customFormat="1" x14ac:dyDescent="0.25"/>
    <row r="281" s="221" customFormat="1" x14ac:dyDescent="0.25"/>
    <row r="282" s="221" customFormat="1" x14ac:dyDescent="0.25"/>
    <row r="283" s="221" customFormat="1" x14ac:dyDescent="0.25"/>
    <row r="284" s="221" customFormat="1" x14ac:dyDescent="0.25"/>
    <row r="285" s="221" customFormat="1" x14ac:dyDescent="0.25"/>
    <row r="286" s="221" customFormat="1" x14ac:dyDescent="0.25"/>
    <row r="287" s="221" customFormat="1" x14ac:dyDescent="0.25"/>
    <row r="288" s="221" customFormat="1" x14ac:dyDescent="0.25"/>
    <row r="289" s="221" customFormat="1" x14ac:dyDescent="0.25"/>
    <row r="290" s="221" customFormat="1" x14ac:dyDescent="0.25"/>
    <row r="291" s="221" customFormat="1" x14ac:dyDescent="0.25"/>
    <row r="292" s="221" customFormat="1" x14ac:dyDescent="0.25"/>
    <row r="293" s="221" customFormat="1" x14ac:dyDescent="0.25"/>
    <row r="294" s="221" customFormat="1" x14ac:dyDescent="0.25"/>
    <row r="295" s="221" customFormat="1" x14ac:dyDescent="0.25"/>
    <row r="296" s="221" customFormat="1" x14ac:dyDescent="0.25"/>
    <row r="297" s="221" customFormat="1" x14ac:dyDescent="0.25"/>
    <row r="298" s="221" customFormat="1" x14ac:dyDescent="0.25"/>
    <row r="299" s="221" customFormat="1" x14ac:dyDescent="0.25"/>
    <row r="300" s="221" customFormat="1" x14ac:dyDescent="0.25"/>
    <row r="301" s="221" customFormat="1" x14ac:dyDescent="0.25"/>
    <row r="302" s="221" customFormat="1" x14ac:dyDescent="0.25"/>
    <row r="303" s="221" customFormat="1" x14ac:dyDescent="0.25"/>
    <row r="304" s="221" customFormat="1" x14ac:dyDescent="0.25"/>
    <row r="305" s="221" customFormat="1" x14ac:dyDescent="0.25"/>
    <row r="306" s="221" customFormat="1" x14ac:dyDescent="0.25"/>
    <row r="307" s="221" customFormat="1" x14ac:dyDescent="0.25"/>
    <row r="308" s="221" customFormat="1" x14ac:dyDescent="0.25"/>
    <row r="309" s="221" customFormat="1" x14ac:dyDescent="0.25"/>
    <row r="310" s="221" customFormat="1" x14ac:dyDescent="0.25"/>
    <row r="311" s="221" customFormat="1" x14ac:dyDescent="0.25"/>
    <row r="312" s="221" customFormat="1" x14ac:dyDescent="0.25"/>
    <row r="313" s="221" customFormat="1" x14ac:dyDescent="0.25"/>
    <row r="314" s="221" customFormat="1" x14ac:dyDescent="0.25"/>
    <row r="315" s="221" customFormat="1" x14ac:dyDescent="0.25"/>
    <row r="316" s="221" customFormat="1" x14ac:dyDescent="0.25"/>
    <row r="317" s="221" customFormat="1" x14ac:dyDescent="0.25"/>
    <row r="318" s="221" customFormat="1" x14ac:dyDescent="0.25"/>
    <row r="319" s="221" customFormat="1" x14ac:dyDescent="0.25"/>
    <row r="320" s="221" customFormat="1" x14ac:dyDescent="0.25"/>
    <row r="321" s="221" customFormat="1" x14ac:dyDescent="0.25"/>
    <row r="322" s="221" customFormat="1" x14ac:dyDescent="0.25"/>
    <row r="323" s="221" customFormat="1" x14ac:dyDescent="0.25"/>
    <row r="324" s="221" customFormat="1" x14ac:dyDescent="0.25"/>
    <row r="325" s="221" customFormat="1" x14ac:dyDescent="0.25"/>
    <row r="326" s="221" customFormat="1" x14ac:dyDescent="0.25"/>
    <row r="327" s="221" customFormat="1" x14ac:dyDescent="0.25"/>
    <row r="328" s="221" customFormat="1" x14ac:dyDescent="0.25"/>
    <row r="329" s="221" customFormat="1" x14ac:dyDescent="0.25"/>
    <row r="330" s="221" customFormat="1" x14ac:dyDescent="0.25"/>
    <row r="331" s="221" customFormat="1" x14ac:dyDescent="0.25"/>
    <row r="332" s="221" customFormat="1" x14ac:dyDescent="0.25"/>
    <row r="333" s="221" customFormat="1" x14ac:dyDescent="0.25"/>
    <row r="334" s="221" customFormat="1" x14ac:dyDescent="0.25"/>
    <row r="335" s="221" customFormat="1" x14ac:dyDescent="0.25"/>
    <row r="336" s="221" customFormat="1" x14ac:dyDescent="0.25"/>
    <row r="337" s="221" customFormat="1" x14ac:dyDescent="0.25"/>
    <row r="338" s="221" customFormat="1" x14ac:dyDescent="0.25"/>
    <row r="339" s="221" customFormat="1" x14ac:dyDescent="0.25"/>
    <row r="340" s="221" customFormat="1" x14ac:dyDescent="0.25"/>
    <row r="341" s="221" customFormat="1" x14ac:dyDescent="0.25"/>
    <row r="342" s="221" customFormat="1" x14ac:dyDescent="0.25"/>
    <row r="343" s="221" customFormat="1" x14ac:dyDescent="0.25"/>
    <row r="344" s="221" customFormat="1" x14ac:dyDescent="0.25"/>
    <row r="345" s="221" customFormat="1" x14ac:dyDescent="0.25"/>
    <row r="346" s="221" customFormat="1" x14ac:dyDescent="0.25"/>
    <row r="347" s="221" customFormat="1" x14ac:dyDescent="0.25"/>
    <row r="348" s="221" customFormat="1" x14ac:dyDescent="0.25"/>
    <row r="349" s="221" customFormat="1" x14ac:dyDescent="0.25"/>
    <row r="350" s="221" customFormat="1" x14ac:dyDescent="0.25"/>
    <row r="351" s="221" customFormat="1" x14ac:dyDescent="0.25"/>
    <row r="352" s="221" customFormat="1" x14ac:dyDescent="0.25"/>
    <row r="353" s="221" customFormat="1" x14ac:dyDescent="0.25"/>
    <row r="354" s="221" customFormat="1" x14ac:dyDescent="0.25"/>
    <row r="355" s="221" customFormat="1" x14ac:dyDescent="0.25"/>
    <row r="356" s="221" customFormat="1" x14ac:dyDescent="0.25"/>
    <row r="357" s="221" customFormat="1" x14ac:dyDescent="0.25"/>
    <row r="358" s="221" customFormat="1" x14ac:dyDescent="0.25"/>
    <row r="359" s="221" customFormat="1" x14ac:dyDescent="0.25"/>
    <row r="360" s="221" customFormat="1" x14ac:dyDescent="0.25"/>
    <row r="361" s="221" customFormat="1" x14ac:dyDescent="0.25"/>
    <row r="362" s="221" customFormat="1" x14ac:dyDescent="0.25"/>
    <row r="363" s="221" customFormat="1" x14ac:dyDescent="0.25"/>
    <row r="364" s="221" customFormat="1" x14ac:dyDescent="0.25"/>
    <row r="365" s="221" customFormat="1" x14ac:dyDescent="0.25"/>
    <row r="366" s="221" customFormat="1" x14ac:dyDescent="0.25"/>
    <row r="367" s="221" customFormat="1" x14ac:dyDescent="0.25"/>
    <row r="368" s="221" customFormat="1" x14ac:dyDescent="0.25"/>
    <row r="369" s="221" customFormat="1" x14ac:dyDescent="0.25"/>
    <row r="370" s="221" customFormat="1" x14ac:dyDescent="0.25"/>
    <row r="371" s="221" customFormat="1" x14ac:dyDescent="0.25"/>
    <row r="372" s="221" customFormat="1" x14ac:dyDescent="0.25"/>
    <row r="373" s="221" customFormat="1" x14ac:dyDescent="0.25"/>
    <row r="374" s="221" customFormat="1" x14ac:dyDescent="0.25"/>
    <row r="375" s="221" customFormat="1" x14ac:dyDescent="0.25"/>
    <row r="376" s="221" customFormat="1" x14ac:dyDescent="0.25"/>
    <row r="377" s="221" customFormat="1" x14ac:dyDescent="0.25"/>
    <row r="378" s="221" customFormat="1" x14ac:dyDescent="0.25"/>
    <row r="379" s="221" customFormat="1" x14ac:dyDescent="0.25"/>
    <row r="380" s="221" customFormat="1" x14ac:dyDescent="0.25"/>
    <row r="381" s="221" customFormat="1" x14ac:dyDescent="0.25"/>
    <row r="382" s="221" customFormat="1" x14ac:dyDescent="0.25"/>
    <row r="383" s="221" customFormat="1" x14ac:dyDescent="0.25"/>
    <row r="384" s="221" customFormat="1" x14ac:dyDescent="0.25"/>
    <row r="385" s="221" customFormat="1" x14ac:dyDescent="0.25"/>
    <row r="386" s="221" customFormat="1" x14ac:dyDescent="0.25"/>
    <row r="387" s="221" customFormat="1" x14ac:dyDescent="0.25"/>
    <row r="388" s="221" customFormat="1" x14ac:dyDescent="0.25"/>
    <row r="389" s="221" customFormat="1" x14ac:dyDescent="0.25"/>
    <row r="390" s="221" customFormat="1" x14ac:dyDescent="0.25"/>
    <row r="391" s="221" customFormat="1" x14ac:dyDescent="0.25"/>
    <row r="392" s="221" customFormat="1" x14ac:dyDescent="0.25"/>
    <row r="393" s="221" customFormat="1" x14ac:dyDescent="0.25"/>
    <row r="394" s="221" customFormat="1" x14ac:dyDescent="0.25"/>
    <row r="395" s="221" customFormat="1" x14ac:dyDescent="0.25"/>
    <row r="396" s="221" customFormat="1" x14ac:dyDescent="0.25"/>
    <row r="397" s="221" customFormat="1" x14ac:dyDescent="0.25"/>
    <row r="398" s="221" customFormat="1" x14ac:dyDescent="0.25"/>
    <row r="399" s="221" customFormat="1" x14ac:dyDescent="0.25"/>
    <row r="400" s="221" customFormat="1" x14ac:dyDescent="0.25"/>
    <row r="401" s="221" customFormat="1" x14ac:dyDescent="0.25"/>
    <row r="402" s="221" customFormat="1" x14ac:dyDescent="0.25"/>
    <row r="403" s="221" customFormat="1" x14ac:dyDescent="0.25"/>
    <row r="404" s="221" customFormat="1" x14ac:dyDescent="0.25"/>
    <row r="405" s="221" customFormat="1" x14ac:dyDescent="0.25"/>
    <row r="406" s="221" customFormat="1" x14ac:dyDescent="0.25"/>
    <row r="407" s="221" customFormat="1" x14ac:dyDescent="0.25"/>
    <row r="408" s="221" customFormat="1" x14ac:dyDescent="0.25"/>
    <row r="409" s="221" customFormat="1" x14ac:dyDescent="0.25"/>
    <row r="410" s="221" customFormat="1" x14ac:dyDescent="0.25"/>
    <row r="411" s="221" customFormat="1" x14ac:dyDescent="0.25"/>
    <row r="412" s="221" customFormat="1" x14ac:dyDescent="0.25"/>
    <row r="413" s="221" customFormat="1" x14ac:dyDescent="0.25"/>
    <row r="414" s="221" customFormat="1" x14ac:dyDescent="0.25"/>
    <row r="415" s="221" customFormat="1" x14ac:dyDescent="0.25"/>
    <row r="416" s="221" customFormat="1" x14ac:dyDescent="0.25"/>
    <row r="417" s="221" customFormat="1" x14ac:dyDescent="0.25"/>
    <row r="418" s="221" customFormat="1" x14ac:dyDescent="0.25"/>
    <row r="419" s="221" customFormat="1" x14ac:dyDescent="0.25"/>
    <row r="420" s="221" customFormat="1" x14ac:dyDescent="0.25"/>
    <row r="421" s="221" customFormat="1" x14ac:dyDescent="0.25"/>
    <row r="422" s="221" customFormat="1" x14ac:dyDescent="0.25"/>
    <row r="423" s="221" customFormat="1" x14ac:dyDescent="0.25"/>
    <row r="424" s="221" customFormat="1" x14ac:dyDescent="0.25"/>
    <row r="425" s="221" customFormat="1" x14ac:dyDescent="0.25"/>
    <row r="426" s="221" customFormat="1" x14ac:dyDescent="0.25"/>
    <row r="427" s="221" customFormat="1" x14ac:dyDescent="0.25"/>
    <row r="428" s="221" customFormat="1" x14ac:dyDescent="0.25"/>
    <row r="429" s="221" customFormat="1" x14ac:dyDescent="0.25"/>
    <row r="430" s="221" customFormat="1" x14ac:dyDescent="0.25"/>
    <row r="431" s="221" customFormat="1" x14ac:dyDescent="0.25"/>
    <row r="432" s="221" customFormat="1" x14ac:dyDescent="0.25"/>
    <row r="433" s="221" customFormat="1" x14ac:dyDescent="0.25"/>
    <row r="434" s="221" customFormat="1" x14ac:dyDescent="0.25"/>
    <row r="435" s="221" customFormat="1" x14ac:dyDescent="0.25"/>
    <row r="436" s="221" customFormat="1" x14ac:dyDescent="0.25"/>
    <row r="437" s="221" customFormat="1" x14ac:dyDescent="0.25"/>
    <row r="438" s="221" customFormat="1" x14ac:dyDescent="0.25"/>
    <row r="439" s="221" customFormat="1" x14ac:dyDescent="0.25"/>
    <row r="440" s="221" customFormat="1" x14ac:dyDescent="0.25"/>
    <row r="441" s="221" customFormat="1" x14ac:dyDescent="0.25"/>
    <row r="442" s="221" customFormat="1" x14ac:dyDescent="0.25"/>
    <row r="443" s="221" customFormat="1" x14ac:dyDescent="0.25"/>
    <row r="444" s="221" customFormat="1" x14ac:dyDescent="0.25"/>
    <row r="445" s="221" customFormat="1" x14ac:dyDescent="0.25"/>
    <row r="446" s="221" customFormat="1" x14ac:dyDescent="0.25"/>
    <row r="447" s="221" customFormat="1" x14ac:dyDescent="0.25"/>
    <row r="448" s="221" customFormat="1" x14ac:dyDescent="0.25"/>
    <row r="449" s="221" customFormat="1" x14ac:dyDescent="0.25"/>
    <row r="450" s="221" customFormat="1" x14ac:dyDescent="0.25"/>
    <row r="451" s="221" customFormat="1" x14ac:dyDescent="0.25"/>
    <row r="452" s="221" customFormat="1" x14ac:dyDescent="0.25"/>
    <row r="453" s="221" customFormat="1" x14ac:dyDescent="0.25"/>
    <row r="454" s="221" customFormat="1" x14ac:dyDescent="0.25"/>
  </sheetData>
  <sheetProtection sheet="1" formatCells="0" formatColumns="0" formatRows="0" insertColumns="0" insertRows="0" insertHyperlinks="0" deleteColumns="0" deleteRows="0" selectLockedCells="1" sort="0" autoFilter="0" pivotTables="0"/>
  <mergeCells count="13">
    <mergeCell ref="A41:D41"/>
    <mergeCell ref="A42:D42"/>
    <mergeCell ref="A6:B6"/>
    <mergeCell ref="A23:B23"/>
    <mergeCell ref="A38:D38"/>
    <mergeCell ref="A39:D39"/>
    <mergeCell ref="A40:D40"/>
    <mergeCell ref="A54:E54"/>
    <mergeCell ref="D50:F50"/>
    <mergeCell ref="A48:C48"/>
    <mergeCell ref="D51:E51"/>
    <mergeCell ref="D52:E52"/>
    <mergeCell ref="F54:G54"/>
  </mergeCells>
  <pageMargins left="0.25" right="0" top="0.25" bottom="0.25" header="0.3" footer="0.3"/>
  <pageSetup scale="98" fitToHeight="0" orientation="landscape" verticalDpi="1200" r:id="rId1"/>
  <headerFooter>
    <oddFooter>&amp;A</oddFooter>
  </headerFooter>
  <ignoredErrors>
    <ignoredError sqref="A2 A6 B19 A24:A29 B33:H33 B34:H34 C35:H35 I36 H37:I37 E38:E42 D51 F5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2" id="{2EF6FCDA-5399-43B4-808D-1375BCCD2B4D}">
            <xm:f>$D$48=FILTER_BRIDGE!#REF!</xm:f>
            <x14:dxf>
              <fill>
                <patternFill patternType="none">
                  <bgColor auto="1"/>
                </patternFill>
              </fill>
            </x14:dxf>
          </x14:cfRule>
          <xm:sqref>E47</xm:sqref>
        </x14:conditionalFormatting>
        <x14:conditionalFormatting xmlns:xm="http://schemas.microsoft.com/office/excel/2006/main">
          <x14:cfRule type="expression" priority="33" id="{848F9066-6EB9-43FF-9B07-2EB9434587EF}">
            <xm:f>$D$48=FILTER_BRIDGE!#REF!</xm:f>
            <x14:dxf>
              <font>
                <b/>
                <i val="0"/>
                <color auto="1"/>
              </font>
              <fill>
                <patternFill patternType="none">
                  <bgColor auto="1"/>
                </patternFill>
              </fill>
            </x14:dxf>
          </x14:cfRule>
          <xm:sqref>E48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67BE-B33A-4489-8D7C-9B269FC02884}">
  <sheetPr codeName="Sheet8">
    <tabColor rgb="FF003B5C"/>
    <pageSetUpPr fitToPage="1"/>
  </sheetPr>
  <dimension ref="A1:F33"/>
  <sheetViews>
    <sheetView zoomScaleNormal="100" workbookViewId="0">
      <selection activeCell="A8" sqref="A8"/>
    </sheetView>
  </sheetViews>
  <sheetFormatPr defaultColWidth="9.140625" defaultRowHeight="15" x14ac:dyDescent="0.25"/>
  <cols>
    <col min="1" max="1" width="30.7109375" style="3" customWidth="1"/>
    <col min="2" max="9" width="15.7109375" style="3" customWidth="1"/>
    <col min="10" max="16384" width="9.140625" style="3"/>
  </cols>
  <sheetData>
    <row r="1" spans="1:6" ht="20.25" x14ac:dyDescent="0.25">
      <c r="A1" s="65" t="s">
        <v>92</v>
      </c>
    </row>
    <row r="2" spans="1:6" ht="18.75" x14ac:dyDescent="0.25">
      <c r="A2" s="63" t="str">
        <f ca="1">_xlfn.CONCAT("Budget Year ", IF(MONTH(TODAY())&gt;8,YEAR(TODAY())+2,YEAR(TODAY())+1))</f>
        <v>Budget Year 2026</v>
      </c>
    </row>
    <row r="5" spans="1:6" ht="18.75" x14ac:dyDescent="0.25">
      <c r="A5" s="67" t="s">
        <v>93</v>
      </c>
      <c r="B5" s="16"/>
      <c r="C5" s="154">
        <v>12512</v>
      </c>
      <c r="D5" s="16"/>
      <c r="E5" s="16"/>
      <c r="F5" s="16"/>
    </row>
    <row r="7" spans="1:6" ht="18.75" x14ac:dyDescent="0.25">
      <c r="A7" s="67" t="s">
        <v>94</v>
      </c>
    </row>
    <row r="8" spans="1:6" x14ac:dyDescent="0.25">
      <c r="A8" s="78" t="str">
        <f ca="1">_xlfn.CONCAT("Enter ",IF(MONTH(TODAY())&gt;8,YEAR(TODAY())+2,YEAR(TODAY())+1), " MTAS estimates in the yellow tinted cells.")</f>
        <v>Enter 2026 MTAS estimates in the yellow tinted cells.</v>
      </c>
    </row>
    <row r="9" spans="1:6" x14ac:dyDescent="0.25">
      <c r="A9" s="214" t="str">
        <f ca="1">_xlfn.CONCAT(IF(MONTH(TODAY())&gt;8,YEAR(TODAY())+2,YEAR(TODAY())+1), " MTAS Tax Estimate")</f>
        <v>2026 MTAS Tax Estimate</v>
      </c>
      <c r="B9" s="214"/>
    </row>
    <row r="10" spans="1:6" x14ac:dyDescent="0.25">
      <c r="A10" s="69" t="s">
        <v>138</v>
      </c>
      <c r="B10" s="155">
        <v>120</v>
      </c>
    </row>
    <row r="11" spans="1:6" x14ac:dyDescent="0.25">
      <c r="A11" s="69" t="s">
        <v>139</v>
      </c>
      <c r="B11" s="156">
        <v>0.46</v>
      </c>
    </row>
    <row r="12" spans="1:6" x14ac:dyDescent="0.25">
      <c r="A12" s="69" t="s">
        <v>140</v>
      </c>
      <c r="B12" s="156">
        <v>1.83</v>
      </c>
    </row>
    <row r="13" spans="1:6" x14ac:dyDescent="0.25">
      <c r="A13" s="69" t="s">
        <v>141</v>
      </c>
      <c r="B13" s="156">
        <v>12</v>
      </c>
    </row>
    <row r="14" spans="1:6" x14ac:dyDescent="0.25">
      <c r="A14" s="69" t="s">
        <v>142</v>
      </c>
      <c r="B14" s="156">
        <v>1</v>
      </c>
    </row>
    <row r="15" spans="1:6" x14ac:dyDescent="0.25">
      <c r="A15" s="69" t="s">
        <v>195</v>
      </c>
      <c r="B15" s="156">
        <v>2</v>
      </c>
    </row>
    <row r="16" spans="1:6" x14ac:dyDescent="0.25">
      <c r="A16" s="69" t="s">
        <v>143</v>
      </c>
      <c r="B16" s="157">
        <v>35</v>
      </c>
    </row>
    <row r="18" spans="1:2" ht="18.75" x14ac:dyDescent="0.25">
      <c r="A18" s="67" t="s">
        <v>99</v>
      </c>
    </row>
    <row r="19" spans="1:2" ht="15.75" x14ac:dyDescent="0.25">
      <c r="A19" s="67"/>
    </row>
    <row r="20" spans="1:2" ht="15.75" x14ac:dyDescent="0.25">
      <c r="A20" s="215" t="s">
        <v>7</v>
      </c>
      <c r="B20" s="215"/>
    </row>
    <row r="21" spans="1:2" x14ac:dyDescent="0.25">
      <c r="A21" s="128"/>
      <c r="B21" s="132" t="s">
        <v>102</v>
      </c>
    </row>
    <row r="22" spans="1:2" x14ac:dyDescent="0.25">
      <c r="A22" s="19" t="s">
        <v>100</v>
      </c>
      <c r="B22" s="134">
        <f>$C$5*B10</f>
        <v>1501440</v>
      </c>
    </row>
    <row r="23" spans="1:2" x14ac:dyDescent="0.25">
      <c r="A23" s="19" t="s">
        <v>95</v>
      </c>
      <c r="B23" s="129">
        <f>$C$5*B11</f>
        <v>5755.52</v>
      </c>
    </row>
    <row r="24" spans="1:2" x14ac:dyDescent="0.25">
      <c r="A24" s="19" t="s">
        <v>96</v>
      </c>
      <c r="B24" s="129">
        <f>$C$5*B12</f>
        <v>22896.959999999999</v>
      </c>
    </row>
    <row r="25" spans="1:2" x14ac:dyDescent="0.25">
      <c r="A25" s="19" t="s">
        <v>97</v>
      </c>
      <c r="B25" s="129">
        <f>$C$5*B13</f>
        <v>150144</v>
      </c>
    </row>
    <row r="26" spans="1:2" x14ac:dyDescent="0.25">
      <c r="A26" s="216" t="s">
        <v>98</v>
      </c>
      <c r="B26" s="129">
        <f>$C$5*B14</f>
        <v>12512</v>
      </c>
    </row>
    <row r="27" spans="1:2" x14ac:dyDescent="0.25">
      <c r="A27" s="217" t="s">
        <v>196</v>
      </c>
      <c r="B27" s="130">
        <f>$C$5*B15</f>
        <v>25024</v>
      </c>
    </row>
    <row r="28" spans="1:2" x14ac:dyDescent="0.25">
      <c r="A28" s="133" t="s">
        <v>101</v>
      </c>
      <c r="B28" s="130">
        <f>SUM(B22:B26)</f>
        <v>1692748.48</v>
      </c>
    </row>
    <row r="30" spans="1:2" ht="15.75" x14ac:dyDescent="0.25">
      <c r="A30" s="215" t="s">
        <v>103</v>
      </c>
      <c r="B30" s="215"/>
    </row>
    <row r="31" spans="1:2" x14ac:dyDescent="0.25">
      <c r="A31" s="128"/>
      <c r="B31" s="128" t="s">
        <v>102</v>
      </c>
    </row>
    <row r="32" spans="1:2" x14ac:dyDescent="0.25">
      <c r="A32" s="270" t="s">
        <v>104</v>
      </c>
      <c r="B32" s="131">
        <f>$C$5*B16</f>
        <v>437920</v>
      </c>
    </row>
    <row r="33" spans="1:1" x14ac:dyDescent="0.25">
      <c r="A33" s="271"/>
    </row>
  </sheetData>
  <mergeCells count="3">
    <mergeCell ref="A20:B20"/>
    <mergeCell ref="A30:B30"/>
    <mergeCell ref="A9:B9"/>
  </mergeCells>
  <conditionalFormatting sqref="A8">
    <cfRule type="expression" dxfId="2" priority="1">
      <formula>$D$1=2</formula>
    </cfRule>
  </conditionalFormatting>
  <pageMargins left="0.25" right="0" top="0.25" bottom="0.25" header="0.3" footer="0.3"/>
  <pageSetup fitToHeight="0" orientation="landscape" verticalDpi="1200"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FEC7-83C8-4AA4-8050-4EF22EA2577B}">
  <sheetPr>
    <tabColor rgb="FF003B5C"/>
    <pageSetUpPr fitToPage="1"/>
  </sheetPr>
  <dimension ref="A1:I454"/>
  <sheetViews>
    <sheetView zoomScaleNormal="100" workbookViewId="0">
      <selection activeCell="K20" sqref="K20"/>
    </sheetView>
  </sheetViews>
  <sheetFormatPr defaultRowHeight="15" x14ac:dyDescent="0.25"/>
  <cols>
    <col min="1" max="12" width="15.7109375" style="219" customWidth="1"/>
    <col min="13" max="16384" width="9.140625" style="219"/>
  </cols>
  <sheetData>
    <row r="1" spans="1:5" ht="20.25" x14ac:dyDescent="0.25">
      <c r="A1" s="218" t="s">
        <v>105</v>
      </c>
    </row>
    <row r="2" spans="1:5" ht="18.75" x14ac:dyDescent="0.25">
      <c r="A2" s="220" t="str">
        <f ca="1">_xlfn.CONCAT("Budget Year ", IF(MONTH(TODAY())&gt;8,YEAR(TODAY())+2,YEAR(TODAY())+1))</f>
        <v>Budget Year 2026</v>
      </c>
    </row>
    <row r="3" spans="1:5" s="221" customFormat="1" x14ac:dyDescent="0.25"/>
    <row r="4" spans="1:5" s="221" customFormat="1" ht="18.75" x14ac:dyDescent="0.3">
      <c r="A4" s="222" t="s">
        <v>106</v>
      </c>
    </row>
    <row r="5" spans="1:5" s="221" customFormat="1" x14ac:dyDescent="0.25">
      <c r="A5" s="223" t="s">
        <v>68</v>
      </c>
    </row>
    <row r="6" spans="1:5" s="221" customFormat="1" x14ac:dyDescent="0.25">
      <c r="A6" s="262" t="str">
        <f ca="1">_xlfn.CONCAT("Current Budget Year ", IF(MONTH(TODAY())&gt;8,YEAR(TODAY())+2,YEAR(TODAY())+1)-1)</f>
        <v>Current Budget Year 2025</v>
      </c>
      <c r="B6" s="224"/>
    </row>
    <row r="7" spans="1:5" s="221" customFormat="1" x14ac:dyDescent="0.25">
      <c r="A7" s="263" t="s">
        <v>56</v>
      </c>
      <c r="B7" s="226">
        <v>25124</v>
      </c>
    </row>
    <row r="8" spans="1:5" s="221" customFormat="1" x14ac:dyDescent="0.25">
      <c r="A8" s="263" t="s">
        <v>57</v>
      </c>
      <c r="B8" s="227">
        <v>27841</v>
      </c>
    </row>
    <row r="9" spans="1:5" s="221" customFormat="1" x14ac:dyDescent="0.25">
      <c r="A9" s="263" t="s">
        <v>58</v>
      </c>
      <c r="B9" s="227">
        <v>23558</v>
      </c>
      <c r="E9" s="228"/>
    </row>
    <row r="10" spans="1:5" s="221" customFormat="1" x14ac:dyDescent="0.25">
      <c r="A10" s="263" t="s">
        <v>59</v>
      </c>
      <c r="B10" s="227">
        <v>26542</v>
      </c>
    </row>
    <row r="11" spans="1:5" s="221" customFormat="1" x14ac:dyDescent="0.25">
      <c r="A11" s="263" t="s">
        <v>60</v>
      </c>
      <c r="B11" s="227">
        <v>24831</v>
      </c>
    </row>
    <row r="12" spans="1:5" s="221" customFormat="1" x14ac:dyDescent="0.25">
      <c r="A12" s="263" t="s">
        <v>61</v>
      </c>
      <c r="B12" s="227">
        <v>28941</v>
      </c>
    </row>
    <row r="13" spans="1:5" s="221" customFormat="1" x14ac:dyDescent="0.25">
      <c r="A13" s="263" t="s">
        <v>62</v>
      </c>
      <c r="B13" s="227">
        <v>27849</v>
      </c>
      <c r="E13" s="229"/>
    </row>
    <row r="14" spans="1:5" s="221" customFormat="1" x14ac:dyDescent="0.25">
      <c r="A14" s="263" t="s">
        <v>63</v>
      </c>
      <c r="B14" s="227">
        <v>26571</v>
      </c>
    </row>
    <row r="15" spans="1:5" s="221" customFormat="1" x14ac:dyDescent="0.25">
      <c r="A15" s="263" t="s">
        <v>64</v>
      </c>
      <c r="B15" s="227">
        <v>22151</v>
      </c>
      <c r="E15" s="229"/>
    </row>
    <row r="16" spans="1:5" s="221" customFormat="1" x14ac:dyDescent="0.25">
      <c r="A16" s="263" t="s">
        <v>65</v>
      </c>
      <c r="B16" s="227">
        <v>23199</v>
      </c>
      <c r="E16" s="230"/>
    </row>
    <row r="17" spans="1:8" s="221" customFormat="1" x14ac:dyDescent="0.25">
      <c r="A17" s="263" t="s">
        <v>66</v>
      </c>
      <c r="B17" s="227">
        <v>23956</v>
      </c>
    </row>
    <row r="18" spans="1:8" s="221" customFormat="1" x14ac:dyDescent="0.25">
      <c r="A18" s="264" t="s">
        <v>67</v>
      </c>
      <c r="B18" s="231">
        <v>24188</v>
      </c>
      <c r="E18" s="229"/>
    </row>
    <row r="19" spans="1:8" s="221" customFormat="1" x14ac:dyDescent="0.25">
      <c r="A19" s="232" t="s">
        <v>14</v>
      </c>
      <c r="B19" s="233">
        <f>SUM(B7:B18)</f>
        <v>304751</v>
      </c>
    </row>
    <row r="20" spans="1:8" s="221" customFormat="1" x14ac:dyDescent="0.25"/>
    <row r="21" spans="1:8" s="221" customFormat="1" ht="18.75" x14ac:dyDescent="0.3">
      <c r="A21" s="222" t="s">
        <v>107</v>
      </c>
    </row>
    <row r="22" spans="1:8" s="221" customFormat="1" x14ac:dyDescent="0.25">
      <c r="A22" s="223" t="s">
        <v>71</v>
      </c>
    </row>
    <row r="23" spans="1:8" s="221" customFormat="1" x14ac:dyDescent="0.25">
      <c r="A23" s="265" t="s">
        <v>72</v>
      </c>
      <c r="B23" s="234"/>
    </row>
    <row r="24" spans="1:8" s="221" customFormat="1" x14ac:dyDescent="0.25">
      <c r="A24" s="263">
        <f ca="1">IF(MONTH(TODAY())&gt;8,YEAR(TODAY())+2,YEAR(TODAY())+1)-2</f>
        <v>2024</v>
      </c>
      <c r="B24" s="226">
        <v>316162</v>
      </c>
    </row>
    <row r="25" spans="1:8" s="221" customFormat="1" x14ac:dyDescent="0.25">
      <c r="A25" s="263">
        <f ca="1">A24-1</f>
        <v>2023</v>
      </c>
      <c r="B25" s="227">
        <v>319039</v>
      </c>
    </row>
    <row r="26" spans="1:8" s="221" customFormat="1" x14ac:dyDescent="0.25">
      <c r="A26" s="263">
        <f ca="1">A25-1</f>
        <v>2022</v>
      </c>
      <c r="B26" s="227">
        <v>337259</v>
      </c>
    </row>
    <row r="27" spans="1:8" s="221" customFormat="1" x14ac:dyDescent="0.25">
      <c r="A27" s="263">
        <f ca="1">A26-1</f>
        <v>2021</v>
      </c>
      <c r="B27" s="227">
        <v>318396</v>
      </c>
    </row>
    <row r="28" spans="1:8" s="221" customFormat="1" x14ac:dyDescent="0.25">
      <c r="A28" s="263">
        <f ca="1">A27-1</f>
        <v>2020</v>
      </c>
      <c r="B28" s="227">
        <v>296344</v>
      </c>
    </row>
    <row r="29" spans="1:8" s="221" customFormat="1" x14ac:dyDescent="0.25">
      <c r="A29" s="264">
        <f ca="1">A28-1</f>
        <v>2019</v>
      </c>
      <c r="B29" s="231">
        <v>294603</v>
      </c>
    </row>
    <row r="30" spans="1:8" s="221" customFormat="1" x14ac:dyDescent="0.25"/>
    <row r="31" spans="1:8" s="221" customFormat="1" ht="18.75" x14ac:dyDescent="0.25">
      <c r="A31" s="235" t="s">
        <v>73</v>
      </c>
      <c r="G31" s="236"/>
    </row>
    <row r="32" spans="1:8" s="221" customFormat="1" x14ac:dyDescent="0.25">
      <c r="A32" s="223" t="s">
        <v>79</v>
      </c>
      <c r="G32" s="236"/>
      <c r="H32" s="237" t="s">
        <v>77</v>
      </c>
    </row>
    <row r="33" spans="1:9" s="221" customFormat="1" x14ac:dyDescent="0.25">
      <c r="A33" s="238"/>
      <c r="B33" s="238">
        <f t="shared" ref="B33:G33" ca="1" si="0">C33-1</f>
        <v>2019</v>
      </c>
      <c r="C33" s="238">
        <f t="shared" ca="1" si="0"/>
        <v>2020</v>
      </c>
      <c r="D33" s="238">
        <f t="shared" ca="1" si="0"/>
        <v>2021</v>
      </c>
      <c r="E33" s="238">
        <f t="shared" ca="1" si="0"/>
        <v>2022</v>
      </c>
      <c r="F33" s="238">
        <f t="shared" ca="1" si="0"/>
        <v>2023</v>
      </c>
      <c r="G33" s="238">
        <f t="shared" ca="1" si="0"/>
        <v>2024</v>
      </c>
      <c r="H33" s="239">
        <f ca="1">IF(MONTH(TODAY())&gt;8,YEAR(TODAY())+2,YEAR(TODAY())+1)-1</f>
        <v>2025</v>
      </c>
      <c r="I33" s="225"/>
    </row>
    <row r="34" spans="1:9" s="221" customFormat="1" ht="30" x14ac:dyDescent="0.25">
      <c r="A34" s="266" t="s">
        <v>198</v>
      </c>
      <c r="B34" s="267">
        <f>B29</f>
        <v>294603</v>
      </c>
      <c r="C34" s="267">
        <f>B28</f>
        <v>296344</v>
      </c>
      <c r="D34" s="267">
        <f>B27</f>
        <v>318396</v>
      </c>
      <c r="E34" s="267">
        <f>B26</f>
        <v>337259</v>
      </c>
      <c r="F34" s="267">
        <f>B25</f>
        <v>319039</v>
      </c>
      <c r="G34" s="267">
        <f>B24</f>
        <v>316162</v>
      </c>
      <c r="H34" s="267">
        <f>B19</f>
        <v>304751</v>
      </c>
      <c r="I34" s="225"/>
    </row>
    <row r="35" spans="1:9" s="221" customFormat="1" ht="30" x14ac:dyDescent="0.25">
      <c r="A35" s="240" t="s">
        <v>75</v>
      </c>
      <c r="B35" s="241" t="s">
        <v>76</v>
      </c>
      <c r="C35" s="242">
        <f t="shared" ref="C35:H35" si="1">(C34-B34)/B34</f>
        <v>5.9096478990370094E-3</v>
      </c>
      <c r="D35" s="242">
        <f t="shared" si="1"/>
        <v>7.4413519423372834E-2</v>
      </c>
      <c r="E35" s="242">
        <f t="shared" si="1"/>
        <v>5.9243834721541731E-2</v>
      </c>
      <c r="F35" s="242">
        <f t="shared" si="1"/>
        <v>-5.4023762153122677E-2</v>
      </c>
      <c r="G35" s="242">
        <f t="shared" si="1"/>
        <v>-9.0177062992298739E-3</v>
      </c>
      <c r="H35" s="242">
        <f t="shared" si="1"/>
        <v>-3.609225650141383E-2</v>
      </c>
      <c r="I35" s="243"/>
    </row>
    <row r="36" spans="1:9" s="221" customFormat="1" x14ac:dyDescent="0.25">
      <c r="B36" s="255"/>
      <c r="C36" s="255"/>
      <c r="D36" s="255"/>
      <c r="E36" s="255"/>
      <c r="F36" s="255"/>
      <c r="G36" s="255"/>
      <c r="H36" s="255"/>
      <c r="I36" s="253">
        <f>F54</f>
        <v>306274.75499999995</v>
      </c>
    </row>
    <row r="37" spans="1:9" s="221" customFormat="1" x14ac:dyDescent="0.25">
      <c r="B37" s="255"/>
      <c r="C37" s="255"/>
      <c r="D37" s="255"/>
      <c r="E37" s="255"/>
      <c r="F37" s="255"/>
      <c r="G37" s="255"/>
      <c r="H37" s="256">
        <f>H34</f>
        <v>304751</v>
      </c>
      <c r="I37" s="254">
        <f>I36</f>
        <v>306274.75499999995</v>
      </c>
    </row>
    <row r="38" spans="1:9" s="221" customFormat="1" x14ac:dyDescent="0.25">
      <c r="A38" s="268" t="str">
        <f ca="1">_xlfn.CONCAT("6 Year Growth Rate (Average Year over Year ",B33," - ",$H$33, ")  ")</f>
        <v xml:space="preserve">6 Year Growth Rate (Average Year over Year 2019 - 2025)  </v>
      </c>
      <c r="B38" s="268"/>
      <c r="C38" s="268"/>
      <c r="D38" s="268"/>
      <c r="E38" s="269">
        <f>AVERAGE(C35:H35)</f>
        <v>6.7388795150308657E-3</v>
      </c>
    </row>
    <row r="39" spans="1:9" s="221" customFormat="1" x14ac:dyDescent="0.25">
      <c r="A39" s="268" t="str">
        <f ca="1">_xlfn.CONCAT("5 Year Growth Rate (Average Year over Year ",C33," - ",$H$33,")  ")</f>
        <v xml:space="preserve">5 Year Growth Rate (Average Year over Year 2020 - 2025)  </v>
      </c>
      <c r="B39" s="268"/>
      <c r="C39" s="268"/>
      <c r="D39" s="268"/>
      <c r="E39" s="269">
        <f>AVERAGE(D35:H35)</f>
        <v>6.9047258382296337E-3</v>
      </c>
    </row>
    <row r="40" spans="1:9" s="221" customFormat="1" x14ac:dyDescent="0.25">
      <c r="A40" s="268" t="str">
        <f ca="1">_xlfn.CONCAT("4 Year Growth Rate (Average Year over Year ",D33," - ",$H$33,")  ")</f>
        <v xml:space="preserve">4 Year Growth Rate (Average Year over Year 2021 - 2025)  </v>
      </c>
      <c r="B40" s="268"/>
      <c r="C40" s="268"/>
      <c r="D40" s="268"/>
      <c r="E40" s="269">
        <f>AVERAGE(E35:H35)</f>
        <v>-9.9724725580561634E-3</v>
      </c>
    </row>
    <row r="41" spans="1:9" s="221" customFormat="1" x14ac:dyDescent="0.25">
      <c r="A41" s="268" t="str">
        <f ca="1">_xlfn.CONCAT("3 Year Growth Rate (Average Year over Year ",E33," - ",$H$33,")  ")</f>
        <v xml:space="preserve">3 Year Growth Rate (Average Year over Year 2022 - 2025)  </v>
      </c>
      <c r="B41" s="268"/>
      <c r="C41" s="268"/>
      <c r="D41" s="268"/>
      <c r="E41" s="269">
        <f>AVERAGE(F35:H35)</f>
        <v>-3.3044574984588793E-2</v>
      </c>
    </row>
    <row r="42" spans="1:9" s="221" customFormat="1" x14ac:dyDescent="0.25">
      <c r="A42" s="268" t="str">
        <f ca="1">_xlfn.CONCAT("2 Year Growth Rate (Average Year over Year ",F33," - ",$H$33,")  ")</f>
        <v xml:space="preserve">2 Year Growth Rate (Average Year over Year 2023 - 2025)  </v>
      </c>
      <c r="B42" s="268"/>
      <c r="C42" s="268"/>
      <c r="D42" s="268"/>
      <c r="E42" s="269">
        <f>AVERAGE(G35:H35)</f>
        <v>-2.2554981400321854E-2</v>
      </c>
    </row>
    <row r="43" spans="1:9" s="221" customFormat="1" x14ac:dyDescent="0.25">
      <c r="B43" s="255">
        <f ca="1">B33</f>
        <v>2019</v>
      </c>
      <c r="C43" s="255">
        <f ca="1">B43+1</f>
        <v>2020</v>
      </c>
      <c r="D43" s="255">
        <f t="shared" ref="D43:G43" ca="1" si="2">C43+1</f>
        <v>2021</v>
      </c>
      <c r="E43" s="255">
        <f t="shared" ca="1" si="2"/>
        <v>2022</v>
      </c>
      <c r="F43" s="255">
        <f t="shared" ca="1" si="2"/>
        <v>2023</v>
      </c>
      <c r="G43" s="255">
        <f t="shared" ca="1" si="2"/>
        <v>2024</v>
      </c>
      <c r="H43" s="255" t="str">
        <f ca="1">_xlfn.CONCAT(H33, CHAR(10), "Estimated Actual")</f>
        <v>2025
Estimated Actual</v>
      </c>
      <c r="I43" s="255" t="str">
        <f ca="1">_xlfn.CONCAT(H33+1, CHAR(10), "Budget")</f>
        <v>2026
Budget</v>
      </c>
    </row>
    <row r="44" spans="1:9" s="221" customFormat="1" ht="18.75" x14ac:dyDescent="0.3">
      <c r="A44" s="222" t="s">
        <v>108</v>
      </c>
    </row>
    <row r="45" spans="1:9" s="221" customFormat="1" x14ac:dyDescent="0.25">
      <c r="A45" s="223" t="s">
        <v>80</v>
      </c>
    </row>
    <row r="46" spans="1:9" s="221" customFormat="1" x14ac:dyDescent="0.25">
      <c r="A46" s="223" t="s">
        <v>144</v>
      </c>
    </row>
    <row r="47" spans="1:9" s="221" customFormat="1" ht="30.75" thickBot="1" x14ac:dyDescent="0.3">
      <c r="D47" s="245" t="s">
        <v>145</v>
      </c>
      <c r="E47" s="225"/>
    </row>
    <row r="48" spans="1:9" s="221" customFormat="1" ht="15.75" thickBot="1" x14ac:dyDescent="0.3">
      <c r="A48" s="246" t="s">
        <v>197</v>
      </c>
      <c r="B48" s="246"/>
      <c r="C48" s="247"/>
      <c r="D48" s="248">
        <v>5.0000000000000001E-3</v>
      </c>
      <c r="E48" s="249"/>
    </row>
    <row r="49" spans="1:9" s="221" customFormat="1" x14ac:dyDescent="0.25"/>
    <row r="50" spans="1:9" s="221" customFormat="1" x14ac:dyDescent="0.25">
      <c r="D50" s="250" t="s">
        <v>81</v>
      </c>
      <c r="E50" s="250"/>
      <c r="F50" s="250"/>
    </row>
    <row r="51" spans="1:9" s="221" customFormat="1" x14ac:dyDescent="0.25">
      <c r="D51" s="244" t="str">
        <f ca="1">_xlfn.CONCAT("Partially Estimated ",H33)</f>
        <v>Partially Estimated 2025</v>
      </c>
      <c r="E51" s="244"/>
      <c r="F51" s="251">
        <f>B19</f>
        <v>304751</v>
      </c>
    </row>
    <row r="52" spans="1:9" s="221" customFormat="1" x14ac:dyDescent="0.25">
      <c r="D52" s="244" t="s">
        <v>146</v>
      </c>
      <c r="E52" s="244"/>
      <c r="F52" s="252">
        <f>D48</f>
        <v>5.0000000000000001E-3</v>
      </c>
    </row>
    <row r="53" spans="1:9" s="221" customFormat="1" x14ac:dyDescent="0.25"/>
    <row r="54" spans="1:9" s="221" customFormat="1" ht="18.75" x14ac:dyDescent="0.3">
      <c r="A54" s="258" t="str">
        <f ca="1">_xlfn.CONCAT("Forecasted Revenue Item for Budget Year ",H33+1)</f>
        <v>Forecasted Revenue Item for Budget Year 2026</v>
      </c>
      <c r="B54" s="259"/>
      <c r="C54" s="259"/>
      <c r="D54" s="259"/>
      <c r="E54" s="259"/>
      <c r="F54" s="260">
        <f>F51*(1+F52)</f>
        <v>306274.75499999995</v>
      </c>
      <c r="G54" s="261"/>
      <c r="H54" s="257"/>
      <c r="I54" s="257"/>
    </row>
    <row r="55" spans="1:9" s="221" customFormat="1" x14ac:dyDescent="0.25"/>
    <row r="56" spans="1:9" s="221" customFormat="1" x14ac:dyDescent="0.25"/>
    <row r="57" spans="1:9" s="221" customFormat="1" x14ac:dyDescent="0.25"/>
    <row r="58" spans="1:9" s="221" customFormat="1" x14ac:dyDescent="0.25"/>
    <row r="59" spans="1:9" s="221" customFormat="1" x14ac:dyDescent="0.25"/>
    <row r="60" spans="1:9" s="221" customFormat="1" x14ac:dyDescent="0.25"/>
    <row r="61" spans="1:9" s="221" customFormat="1" x14ac:dyDescent="0.25"/>
    <row r="62" spans="1:9" s="221" customFormat="1" x14ac:dyDescent="0.25"/>
    <row r="63" spans="1:9" s="221" customFormat="1" x14ac:dyDescent="0.25"/>
    <row r="64" spans="1:9" s="221" customFormat="1" x14ac:dyDescent="0.25"/>
    <row r="65" s="221" customFormat="1" x14ac:dyDescent="0.25"/>
    <row r="66" s="221" customFormat="1" x14ac:dyDescent="0.25"/>
    <row r="67" s="221" customFormat="1" x14ac:dyDescent="0.25"/>
    <row r="68" s="221" customFormat="1" x14ac:dyDescent="0.25"/>
    <row r="69" s="221" customFormat="1" x14ac:dyDescent="0.25"/>
    <row r="70" s="221" customFormat="1" x14ac:dyDescent="0.25"/>
    <row r="71" s="221" customFormat="1" x14ac:dyDescent="0.25"/>
    <row r="72" s="221" customFormat="1" x14ac:dyDescent="0.25"/>
    <row r="73" s="221" customFormat="1" x14ac:dyDescent="0.25"/>
    <row r="74" s="221" customFormat="1" x14ac:dyDescent="0.25"/>
    <row r="75" s="221" customFormat="1" x14ac:dyDescent="0.25"/>
    <row r="76" s="221" customFormat="1" x14ac:dyDescent="0.25"/>
    <row r="77" s="221" customFormat="1" x14ac:dyDescent="0.25"/>
    <row r="78" s="221" customFormat="1" x14ac:dyDescent="0.25"/>
    <row r="79" s="221" customFormat="1" x14ac:dyDescent="0.25"/>
    <row r="80" s="221" customFormat="1" x14ac:dyDescent="0.25"/>
    <row r="81" s="221" customFormat="1" x14ac:dyDescent="0.25"/>
    <row r="82" s="221" customFormat="1" x14ac:dyDescent="0.25"/>
    <row r="83" s="221" customFormat="1" x14ac:dyDescent="0.25"/>
    <row r="84" s="221" customFormat="1" x14ac:dyDescent="0.25"/>
    <row r="85" s="221" customFormat="1" x14ac:dyDescent="0.25"/>
    <row r="86" s="221" customFormat="1" x14ac:dyDescent="0.25"/>
    <row r="87" s="221" customFormat="1" x14ac:dyDescent="0.25"/>
    <row r="88" s="221" customFormat="1" x14ac:dyDescent="0.25"/>
    <row r="89" s="221" customFormat="1" x14ac:dyDescent="0.25"/>
    <row r="90" s="221" customFormat="1" x14ac:dyDescent="0.25"/>
    <row r="91" s="221" customFormat="1" x14ac:dyDescent="0.25"/>
    <row r="92" s="221" customFormat="1" x14ac:dyDescent="0.25"/>
    <row r="93" s="221" customFormat="1" x14ac:dyDescent="0.25"/>
    <row r="94" s="221" customFormat="1" x14ac:dyDescent="0.25"/>
    <row r="95" s="221" customFormat="1" x14ac:dyDescent="0.25"/>
    <row r="96" s="221" customFormat="1" x14ac:dyDescent="0.25"/>
    <row r="97" s="221" customFormat="1" x14ac:dyDescent="0.25"/>
    <row r="98" s="221" customFormat="1" x14ac:dyDescent="0.25"/>
    <row r="99" s="221" customFormat="1" x14ac:dyDescent="0.25"/>
    <row r="100" s="221" customFormat="1" x14ac:dyDescent="0.25"/>
    <row r="101" s="221" customFormat="1" x14ac:dyDescent="0.25"/>
    <row r="102" s="221" customFormat="1" x14ac:dyDescent="0.25"/>
    <row r="103" s="221" customFormat="1" x14ac:dyDescent="0.25"/>
    <row r="104" s="221" customFormat="1" x14ac:dyDescent="0.25"/>
    <row r="105" s="221" customFormat="1" x14ac:dyDescent="0.25"/>
    <row r="106" s="221" customFormat="1" x14ac:dyDescent="0.25"/>
    <row r="107" s="221" customFormat="1" x14ac:dyDescent="0.25"/>
    <row r="108" s="221" customFormat="1" x14ac:dyDescent="0.25"/>
    <row r="109" s="221" customFormat="1" x14ac:dyDescent="0.25"/>
    <row r="110" s="221" customFormat="1" x14ac:dyDescent="0.25"/>
    <row r="111" s="221" customFormat="1" x14ac:dyDescent="0.25"/>
    <row r="112" s="221" customFormat="1" x14ac:dyDescent="0.25"/>
    <row r="113" s="221" customFormat="1" x14ac:dyDescent="0.25"/>
    <row r="114" s="221" customFormat="1" x14ac:dyDescent="0.25"/>
    <row r="115" s="221" customFormat="1" x14ac:dyDescent="0.25"/>
    <row r="116" s="221" customFormat="1" x14ac:dyDescent="0.25"/>
    <row r="117" s="221" customFormat="1" x14ac:dyDescent="0.25"/>
    <row r="118" s="221" customFormat="1" x14ac:dyDescent="0.25"/>
    <row r="119" s="221" customFormat="1" x14ac:dyDescent="0.25"/>
    <row r="120" s="221" customFormat="1" x14ac:dyDescent="0.25"/>
    <row r="121" s="221" customFormat="1" x14ac:dyDescent="0.25"/>
    <row r="122" s="221" customFormat="1" x14ac:dyDescent="0.25"/>
    <row r="123" s="221" customFormat="1" x14ac:dyDescent="0.25"/>
    <row r="124" s="221" customFormat="1" x14ac:dyDescent="0.25"/>
    <row r="125" s="221" customFormat="1" x14ac:dyDescent="0.25"/>
    <row r="126" s="221" customFormat="1" x14ac:dyDescent="0.25"/>
    <row r="127" s="221" customFormat="1" x14ac:dyDescent="0.25"/>
    <row r="128" s="221" customFormat="1" x14ac:dyDescent="0.25"/>
    <row r="129" s="221" customFormat="1" x14ac:dyDescent="0.25"/>
    <row r="130" s="221" customFormat="1" x14ac:dyDescent="0.25"/>
    <row r="131" s="221" customFormat="1" x14ac:dyDescent="0.25"/>
    <row r="132" s="221" customFormat="1" x14ac:dyDescent="0.25"/>
    <row r="133" s="221" customFormat="1" x14ac:dyDescent="0.25"/>
    <row r="134" s="221" customFormat="1" x14ac:dyDescent="0.25"/>
    <row r="135" s="221" customFormat="1" x14ac:dyDescent="0.25"/>
    <row r="136" s="221" customFormat="1" x14ac:dyDescent="0.25"/>
    <row r="137" s="221" customFormat="1" x14ac:dyDescent="0.25"/>
    <row r="138" s="221" customFormat="1" x14ac:dyDescent="0.25"/>
    <row r="139" s="221" customFormat="1" x14ac:dyDescent="0.25"/>
    <row r="140" s="221" customFormat="1" x14ac:dyDescent="0.25"/>
    <row r="141" s="221" customFormat="1" x14ac:dyDescent="0.25"/>
    <row r="142" s="221" customFormat="1" x14ac:dyDescent="0.25"/>
    <row r="143" s="221" customFormat="1" x14ac:dyDescent="0.25"/>
    <row r="144" s="221" customFormat="1" x14ac:dyDescent="0.25"/>
    <row r="145" s="221" customFormat="1" x14ac:dyDescent="0.25"/>
    <row r="146" s="221" customFormat="1" x14ac:dyDescent="0.25"/>
    <row r="147" s="221" customFormat="1" x14ac:dyDescent="0.25"/>
    <row r="148" s="221" customFormat="1" x14ac:dyDescent="0.25"/>
    <row r="149" s="221" customFormat="1" x14ac:dyDescent="0.25"/>
    <row r="150" s="221" customFormat="1" x14ac:dyDescent="0.25"/>
    <row r="151" s="221" customFormat="1" x14ac:dyDescent="0.25"/>
    <row r="152" s="221" customFormat="1" x14ac:dyDescent="0.25"/>
    <row r="153" s="221" customFormat="1" x14ac:dyDescent="0.25"/>
    <row r="154" s="221" customFormat="1" x14ac:dyDescent="0.25"/>
    <row r="155" s="221" customFormat="1" x14ac:dyDescent="0.25"/>
    <row r="156" s="221" customFormat="1" x14ac:dyDescent="0.25"/>
    <row r="157" s="221" customFormat="1" x14ac:dyDescent="0.25"/>
    <row r="158" s="221" customFormat="1" x14ac:dyDescent="0.25"/>
    <row r="159" s="221" customFormat="1" x14ac:dyDescent="0.25"/>
    <row r="160" s="221" customFormat="1" x14ac:dyDescent="0.25"/>
    <row r="161" s="221" customFormat="1" x14ac:dyDescent="0.25"/>
    <row r="162" s="221" customFormat="1" x14ac:dyDescent="0.25"/>
    <row r="163" s="221" customFormat="1" x14ac:dyDescent="0.25"/>
    <row r="164" s="221" customFormat="1" x14ac:dyDescent="0.25"/>
    <row r="165" s="221" customFormat="1" x14ac:dyDescent="0.25"/>
    <row r="166" s="221" customFormat="1" x14ac:dyDescent="0.25"/>
    <row r="167" s="221" customFormat="1" x14ac:dyDescent="0.25"/>
    <row r="168" s="221" customFormat="1" x14ac:dyDescent="0.25"/>
    <row r="169" s="221" customFormat="1" x14ac:dyDescent="0.25"/>
    <row r="170" s="221" customFormat="1" x14ac:dyDescent="0.25"/>
    <row r="171" s="221" customFormat="1" x14ac:dyDescent="0.25"/>
    <row r="172" s="221" customFormat="1" x14ac:dyDescent="0.25"/>
    <row r="173" s="221" customFormat="1" x14ac:dyDescent="0.25"/>
    <row r="174" s="221" customFormat="1" x14ac:dyDescent="0.25"/>
    <row r="175" s="221" customFormat="1" x14ac:dyDescent="0.25"/>
    <row r="176" s="221" customFormat="1" x14ac:dyDescent="0.25"/>
    <row r="177" s="221" customFormat="1" x14ac:dyDescent="0.25"/>
    <row r="178" s="221" customFormat="1" x14ac:dyDescent="0.25"/>
    <row r="179" s="221" customFormat="1" x14ac:dyDescent="0.25"/>
    <row r="180" s="221" customFormat="1" x14ac:dyDescent="0.25"/>
    <row r="181" s="221" customFormat="1" x14ac:dyDescent="0.25"/>
    <row r="182" s="221" customFormat="1" x14ac:dyDescent="0.25"/>
    <row r="183" s="221" customFormat="1" x14ac:dyDescent="0.25"/>
    <row r="184" s="221" customFormat="1" x14ac:dyDescent="0.25"/>
    <row r="185" s="221" customFormat="1" x14ac:dyDescent="0.25"/>
    <row r="186" s="221" customFormat="1" x14ac:dyDescent="0.25"/>
    <row r="187" s="221" customFormat="1" x14ac:dyDescent="0.25"/>
    <row r="188" s="221" customFormat="1" x14ac:dyDescent="0.25"/>
    <row r="189" s="221" customFormat="1" x14ac:dyDescent="0.25"/>
    <row r="190" s="221" customFormat="1" x14ac:dyDescent="0.25"/>
    <row r="191" s="221" customFormat="1" x14ac:dyDescent="0.25"/>
    <row r="192" s="221" customFormat="1" x14ac:dyDescent="0.25"/>
    <row r="193" s="221" customFormat="1" x14ac:dyDescent="0.25"/>
    <row r="194" s="221" customFormat="1" x14ac:dyDescent="0.25"/>
    <row r="195" s="221" customFormat="1" x14ac:dyDescent="0.25"/>
    <row r="196" s="221" customFormat="1" x14ac:dyDescent="0.25"/>
    <row r="197" s="221" customFormat="1" x14ac:dyDescent="0.25"/>
    <row r="198" s="221" customFormat="1" x14ac:dyDescent="0.25"/>
    <row r="199" s="221" customFormat="1" x14ac:dyDescent="0.25"/>
    <row r="200" s="221" customFormat="1" x14ac:dyDescent="0.25"/>
    <row r="201" s="221" customFormat="1" x14ac:dyDescent="0.25"/>
    <row r="202" s="221" customFormat="1" x14ac:dyDescent="0.25"/>
    <row r="203" s="221" customFormat="1" x14ac:dyDescent="0.25"/>
    <row r="204" s="221" customFormat="1" x14ac:dyDescent="0.25"/>
    <row r="205" s="221" customFormat="1" x14ac:dyDescent="0.25"/>
    <row r="206" s="221" customFormat="1" x14ac:dyDescent="0.25"/>
    <row r="207" s="221" customFormat="1" x14ac:dyDescent="0.25"/>
    <row r="208" s="221" customFormat="1" x14ac:dyDescent="0.25"/>
    <row r="209" s="221" customFormat="1" x14ac:dyDescent="0.25"/>
    <row r="210" s="221" customFormat="1" x14ac:dyDescent="0.25"/>
    <row r="211" s="221" customFormat="1" x14ac:dyDescent="0.25"/>
    <row r="212" s="221" customFormat="1" x14ac:dyDescent="0.25"/>
    <row r="213" s="221" customFormat="1" x14ac:dyDescent="0.25"/>
    <row r="214" s="221" customFormat="1" x14ac:dyDescent="0.25"/>
    <row r="215" s="221" customFormat="1" x14ac:dyDescent="0.25"/>
    <row r="216" s="221" customFormat="1" x14ac:dyDescent="0.25"/>
    <row r="217" s="221" customFormat="1" x14ac:dyDescent="0.25"/>
    <row r="218" s="221" customFormat="1" x14ac:dyDescent="0.25"/>
    <row r="219" s="221" customFormat="1" x14ac:dyDescent="0.25"/>
    <row r="220" s="221" customFormat="1" x14ac:dyDescent="0.25"/>
    <row r="221" s="221" customFormat="1" x14ac:dyDescent="0.25"/>
    <row r="222" s="221" customFormat="1" x14ac:dyDescent="0.25"/>
    <row r="223" s="221" customFormat="1" x14ac:dyDescent="0.25"/>
    <row r="224" s="221" customFormat="1" x14ac:dyDescent="0.25"/>
    <row r="225" s="221" customFormat="1" x14ac:dyDescent="0.25"/>
    <row r="226" s="221" customFormat="1" x14ac:dyDescent="0.25"/>
    <row r="227" s="221" customFormat="1" x14ac:dyDescent="0.25"/>
    <row r="228" s="221" customFormat="1" x14ac:dyDescent="0.25"/>
    <row r="229" s="221" customFormat="1" x14ac:dyDescent="0.25"/>
    <row r="230" s="221" customFormat="1" x14ac:dyDescent="0.25"/>
    <row r="231" s="221" customFormat="1" x14ac:dyDescent="0.25"/>
    <row r="232" s="221" customFormat="1" x14ac:dyDescent="0.25"/>
    <row r="233" s="221" customFormat="1" x14ac:dyDescent="0.25"/>
    <row r="234" s="221" customFormat="1" x14ac:dyDescent="0.25"/>
    <row r="235" s="221" customFormat="1" x14ac:dyDescent="0.25"/>
    <row r="236" s="221" customFormat="1" x14ac:dyDescent="0.25"/>
    <row r="237" s="221" customFormat="1" x14ac:dyDescent="0.25"/>
    <row r="238" s="221" customFormat="1" x14ac:dyDescent="0.25"/>
    <row r="239" s="221" customFormat="1" x14ac:dyDescent="0.25"/>
    <row r="240" s="221" customFormat="1" x14ac:dyDescent="0.25"/>
    <row r="241" s="221" customFormat="1" x14ac:dyDescent="0.25"/>
    <row r="242" s="221" customFormat="1" x14ac:dyDescent="0.25"/>
    <row r="243" s="221" customFormat="1" x14ac:dyDescent="0.25"/>
    <row r="244" s="221" customFormat="1" x14ac:dyDescent="0.25"/>
    <row r="245" s="221" customFormat="1" x14ac:dyDescent="0.25"/>
    <row r="246" s="221" customFormat="1" x14ac:dyDescent="0.25"/>
    <row r="247" s="221" customFormat="1" x14ac:dyDescent="0.25"/>
    <row r="248" s="221" customFormat="1" x14ac:dyDescent="0.25"/>
    <row r="249" s="221" customFormat="1" x14ac:dyDescent="0.25"/>
    <row r="250" s="221" customFormat="1" x14ac:dyDescent="0.25"/>
    <row r="251" s="221" customFormat="1" x14ac:dyDescent="0.25"/>
    <row r="252" s="221" customFormat="1" x14ac:dyDescent="0.25"/>
    <row r="253" s="221" customFormat="1" x14ac:dyDescent="0.25"/>
    <row r="254" s="221" customFormat="1" x14ac:dyDescent="0.25"/>
    <row r="255" s="221" customFormat="1" x14ac:dyDescent="0.25"/>
    <row r="256" s="221" customFormat="1" x14ac:dyDescent="0.25"/>
    <row r="257" s="221" customFormat="1" x14ac:dyDescent="0.25"/>
    <row r="258" s="221" customFormat="1" x14ac:dyDescent="0.25"/>
    <row r="259" s="221" customFormat="1" x14ac:dyDescent="0.25"/>
    <row r="260" s="221" customFormat="1" x14ac:dyDescent="0.25"/>
    <row r="261" s="221" customFormat="1" x14ac:dyDescent="0.25"/>
    <row r="262" s="221" customFormat="1" x14ac:dyDescent="0.25"/>
    <row r="263" s="221" customFormat="1" x14ac:dyDescent="0.25"/>
    <row r="264" s="221" customFormat="1" x14ac:dyDescent="0.25"/>
    <row r="265" s="221" customFormat="1" x14ac:dyDescent="0.25"/>
    <row r="266" s="221" customFormat="1" x14ac:dyDescent="0.25"/>
    <row r="267" s="221" customFormat="1" x14ac:dyDescent="0.25"/>
    <row r="268" s="221" customFormat="1" x14ac:dyDescent="0.25"/>
    <row r="269" s="221" customFormat="1" x14ac:dyDescent="0.25"/>
    <row r="270" s="221" customFormat="1" x14ac:dyDescent="0.25"/>
    <row r="271" s="221" customFormat="1" x14ac:dyDescent="0.25"/>
    <row r="272" s="221" customFormat="1" x14ac:dyDescent="0.25"/>
    <row r="273" s="221" customFormat="1" x14ac:dyDescent="0.25"/>
    <row r="274" s="221" customFormat="1" x14ac:dyDescent="0.25"/>
    <row r="275" s="221" customFormat="1" x14ac:dyDescent="0.25"/>
    <row r="276" s="221" customFormat="1" x14ac:dyDescent="0.25"/>
    <row r="277" s="221" customFormat="1" x14ac:dyDescent="0.25"/>
    <row r="278" s="221" customFormat="1" x14ac:dyDescent="0.25"/>
    <row r="279" s="221" customFormat="1" x14ac:dyDescent="0.25"/>
    <row r="280" s="221" customFormat="1" x14ac:dyDescent="0.25"/>
    <row r="281" s="221" customFormat="1" x14ac:dyDescent="0.25"/>
    <row r="282" s="221" customFormat="1" x14ac:dyDescent="0.25"/>
    <row r="283" s="221" customFormat="1" x14ac:dyDescent="0.25"/>
    <row r="284" s="221" customFormat="1" x14ac:dyDescent="0.25"/>
    <row r="285" s="221" customFormat="1" x14ac:dyDescent="0.25"/>
    <row r="286" s="221" customFormat="1" x14ac:dyDescent="0.25"/>
    <row r="287" s="221" customFormat="1" x14ac:dyDescent="0.25"/>
    <row r="288" s="221" customFormat="1" x14ac:dyDescent="0.25"/>
    <row r="289" s="221" customFormat="1" x14ac:dyDescent="0.25"/>
    <row r="290" s="221" customFormat="1" x14ac:dyDescent="0.25"/>
    <row r="291" s="221" customFormat="1" x14ac:dyDescent="0.25"/>
    <row r="292" s="221" customFormat="1" x14ac:dyDescent="0.25"/>
    <row r="293" s="221" customFormat="1" x14ac:dyDescent="0.25"/>
    <row r="294" s="221" customFormat="1" x14ac:dyDescent="0.25"/>
    <row r="295" s="221" customFormat="1" x14ac:dyDescent="0.25"/>
    <row r="296" s="221" customFormat="1" x14ac:dyDescent="0.25"/>
    <row r="297" s="221" customFormat="1" x14ac:dyDescent="0.25"/>
    <row r="298" s="221" customFormat="1" x14ac:dyDescent="0.25"/>
    <row r="299" s="221" customFormat="1" x14ac:dyDescent="0.25"/>
    <row r="300" s="221" customFormat="1" x14ac:dyDescent="0.25"/>
    <row r="301" s="221" customFormat="1" x14ac:dyDescent="0.25"/>
    <row r="302" s="221" customFormat="1" x14ac:dyDescent="0.25"/>
    <row r="303" s="221" customFormat="1" x14ac:dyDescent="0.25"/>
    <row r="304" s="221" customFormat="1" x14ac:dyDescent="0.25"/>
    <row r="305" s="221" customFormat="1" x14ac:dyDescent="0.25"/>
    <row r="306" s="221" customFormat="1" x14ac:dyDescent="0.25"/>
    <row r="307" s="221" customFormat="1" x14ac:dyDescent="0.25"/>
    <row r="308" s="221" customFormat="1" x14ac:dyDescent="0.25"/>
    <row r="309" s="221" customFormat="1" x14ac:dyDescent="0.25"/>
    <row r="310" s="221" customFormat="1" x14ac:dyDescent="0.25"/>
    <row r="311" s="221" customFormat="1" x14ac:dyDescent="0.25"/>
    <row r="312" s="221" customFormat="1" x14ac:dyDescent="0.25"/>
    <row r="313" s="221" customFormat="1" x14ac:dyDescent="0.25"/>
    <row r="314" s="221" customFormat="1" x14ac:dyDescent="0.25"/>
    <row r="315" s="221" customFormat="1" x14ac:dyDescent="0.25"/>
    <row r="316" s="221" customFormat="1" x14ac:dyDescent="0.25"/>
    <row r="317" s="221" customFormat="1" x14ac:dyDescent="0.25"/>
    <row r="318" s="221" customFormat="1" x14ac:dyDescent="0.25"/>
    <row r="319" s="221" customFormat="1" x14ac:dyDescent="0.25"/>
    <row r="320" s="221" customFormat="1" x14ac:dyDescent="0.25"/>
    <row r="321" s="221" customFormat="1" x14ac:dyDescent="0.25"/>
    <row r="322" s="221" customFormat="1" x14ac:dyDescent="0.25"/>
    <row r="323" s="221" customFormat="1" x14ac:dyDescent="0.25"/>
    <row r="324" s="221" customFormat="1" x14ac:dyDescent="0.25"/>
    <row r="325" s="221" customFormat="1" x14ac:dyDescent="0.25"/>
    <row r="326" s="221" customFormat="1" x14ac:dyDescent="0.25"/>
    <row r="327" s="221" customFormat="1" x14ac:dyDescent="0.25"/>
    <row r="328" s="221" customFormat="1" x14ac:dyDescent="0.25"/>
    <row r="329" s="221" customFormat="1" x14ac:dyDescent="0.25"/>
    <row r="330" s="221" customFormat="1" x14ac:dyDescent="0.25"/>
    <row r="331" s="221" customFormat="1" x14ac:dyDescent="0.25"/>
    <row r="332" s="221" customFormat="1" x14ac:dyDescent="0.25"/>
    <row r="333" s="221" customFormat="1" x14ac:dyDescent="0.25"/>
    <row r="334" s="221" customFormat="1" x14ac:dyDescent="0.25"/>
    <row r="335" s="221" customFormat="1" x14ac:dyDescent="0.25"/>
    <row r="336" s="221" customFormat="1" x14ac:dyDescent="0.25"/>
    <row r="337" s="221" customFormat="1" x14ac:dyDescent="0.25"/>
    <row r="338" s="221" customFormat="1" x14ac:dyDescent="0.25"/>
    <row r="339" s="221" customFormat="1" x14ac:dyDescent="0.25"/>
    <row r="340" s="221" customFormat="1" x14ac:dyDescent="0.25"/>
    <row r="341" s="221" customFormat="1" x14ac:dyDescent="0.25"/>
    <row r="342" s="221" customFormat="1" x14ac:dyDescent="0.25"/>
    <row r="343" s="221" customFormat="1" x14ac:dyDescent="0.25"/>
    <row r="344" s="221" customFormat="1" x14ac:dyDescent="0.25"/>
    <row r="345" s="221" customFormat="1" x14ac:dyDescent="0.25"/>
    <row r="346" s="221" customFormat="1" x14ac:dyDescent="0.25"/>
    <row r="347" s="221" customFormat="1" x14ac:dyDescent="0.25"/>
    <row r="348" s="221" customFormat="1" x14ac:dyDescent="0.25"/>
    <row r="349" s="221" customFormat="1" x14ac:dyDescent="0.25"/>
    <row r="350" s="221" customFormat="1" x14ac:dyDescent="0.25"/>
    <row r="351" s="221" customFormat="1" x14ac:dyDescent="0.25"/>
    <row r="352" s="221" customFormat="1" x14ac:dyDescent="0.25"/>
    <row r="353" s="221" customFormat="1" x14ac:dyDescent="0.25"/>
    <row r="354" s="221" customFormat="1" x14ac:dyDescent="0.25"/>
    <row r="355" s="221" customFormat="1" x14ac:dyDescent="0.25"/>
    <row r="356" s="221" customFormat="1" x14ac:dyDescent="0.25"/>
    <row r="357" s="221" customFormat="1" x14ac:dyDescent="0.25"/>
    <row r="358" s="221" customFormat="1" x14ac:dyDescent="0.25"/>
    <row r="359" s="221" customFormat="1" x14ac:dyDescent="0.25"/>
    <row r="360" s="221" customFormat="1" x14ac:dyDescent="0.25"/>
    <row r="361" s="221" customFormat="1" x14ac:dyDescent="0.25"/>
    <row r="362" s="221" customFormat="1" x14ac:dyDescent="0.25"/>
    <row r="363" s="221" customFormat="1" x14ac:dyDescent="0.25"/>
    <row r="364" s="221" customFormat="1" x14ac:dyDescent="0.25"/>
    <row r="365" s="221" customFormat="1" x14ac:dyDescent="0.25"/>
    <row r="366" s="221" customFormat="1" x14ac:dyDescent="0.25"/>
    <row r="367" s="221" customFormat="1" x14ac:dyDescent="0.25"/>
    <row r="368" s="221" customFormat="1" x14ac:dyDescent="0.25"/>
    <row r="369" s="221" customFormat="1" x14ac:dyDescent="0.25"/>
    <row r="370" s="221" customFormat="1" x14ac:dyDescent="0.25"/>
    <row r="371" s="221" customFormat="1" x14ac:dyDescent="0.25"/>
    <row r="372" s="221" customFormat="1" x14ac:dyDescent="0.25"/>
    <row r="373" s="221" customFormat="1" x14ac:dyDescent="0.25"/>
    <row r="374" s="221" customFormat="1" x14ac:dyDescent="0.25"/>
    <row r="375" s="221" customFormat="1" x14ac:dyDescent="0.25"/>
    <row r="376" s="221" customFormat="1" x14ac:dyDescent="0.25"/>
    <row r="377" s="221" customFormat="1" x14ac:dyDescent="0.25"/>
    <row r="378" s="221" customFormat="1" x14ac:dyDescent="0.25"/>
    <row r="379" s="221" customFormat="1" x14ac:dyDescent="0.25"/>
    <row r="380" s="221" customFormat="1" x14ac:dyDescent="0.25"/>
    <row r="381" s="221" customFormat="1" x14ac:dyDescent="0.25"/>
    <row r="382" s="221" customFormat="1" x14ac:dyDescent="0.25"/>
    <row r="383" s="221" customFormat="1" x14ac:dyDescent="0.25"/>
    <row r="384" s="221" customFormat="1" x14ac:dyDescent="0.25"/>
    <row r="385" s="221" customFormat="1" x14ac:dyDescent="0.25"/>
    <row r="386" s="221" customFormat="1" x14ac:dyDescent="0.25"/>
    <row r="387" s="221" customFormat="1" x14ac:dyDescent="0.25"/>
    <row r="388" s="221" customFormat="1" x14ac:dyDescent="0.25"/>
    <row r="389" s="221" customFormat="1" x14ac:dyDescent="0.25"/>
    <row r="390" s="221" customFormat="1" x14ac:dyDescent="0.25"/>
    <row r="391" s="221" customFormat="1" x14ac:dyDescent="0.25"/>
    <row r="392" s="221" customFormat="1" x14ac:dyDescent="0.25"/>
    <row r="393" s="221" customFormat="1" x14ac:dyDescent="0.25"/>
    <row r="394" s="221" customFormat="1" x14ac:dyDescent="0.25"/>
    <row r="395" s="221" customFormat="1" x14ac:dyDescent="0.25"/>
    <row r="396" s="221" customFormat="1" x14ac:dyDescent="0.25"/>
    <row r="397" s="221" customFormat="1" x14ac:dyDescent="0.25"/>
    <row r="398" s="221" customFormat="1" x14ac:dyDescent="0.25"/>
    <row r="399" s="221" customFormat="1" x14ac:dyDescent="0.25"/>
    <row r="400" s="221" customFormat="1" x14ac:dyDescent="0.25"/>
    <row r="401" s="221" customFormat="1" x14ac:dyDescent="0.25"/>
    <row r="402" s="221" customFormat="1" x14ac:dyDescent="0.25"/>
    <row r="403" s="221" customFormat="1" x14ac:dyDescent="0.25"/>
    <row r="404" s="221" customFormat="1" x14ac:dyDescent="0.25"/>
    <row r="405" s="221" customFormat="1" x14ac:dyDescent="0.25"/>
    <row r="406" s="221" customFormat="1" x14ac:dyDescent="0.25"/>
    <row r="407" s="221" customFormat="1" x14ac:dyDescent="0.25"/>
    <row r="408" s="221" customFormat="1" x14ac:dyDescent="0.25"/>
    <row r="409" s="221" customFormat="1" x14ac:dyDescent="0.25"/>
    <row r="410" s="221" customFormat="1" x14ac:dyDescent="0.25"/>
    <row r="411" s="221" customFormat="1" x14ac:dyDescent="0.25"/>
    <row r="412" s="221" customFormat="1" x14ac:dyDescent="0.25"/>
    <row r="413" s="221" customFormat="1" x14ac:dyDescent="0.25"/>
    <row r="414" s="221" customFormat="1" x14ac:dyDescent="0.25"/>
    <row r="415" s="221" customFormat="1" x14ac:dyDescent="0.25"/>
    <row r="416" s="221" customFormat="1" x14ac:dyDescent="0.25"/>
    <row r="417" s="221" customFormat="1" x14ac:dyDescent="0.25"/>
    <row r="418" s="221" customFormat="1" x14ac:dyDescent="0.25"/>
    <row r="419" s="221" customFormat="1" x14ac:dyDescent="0.25"/>
    <row r="420" s="221" customFormat="1" x14ac:dyDescent="0.25"/>
    <row r="421" s="221" customFormat="1" x14ac:dyDescent="0.25"/>
    <row r="422" s="221" customFormat="1" x14ac:dyDescent="0.25"/>
    <row r="423" s="221" customFormat="1" x14ac:dyDescent="0.25"/>
    <row r="424" s="221" customFormat="1" x14ac:dyDescent="0.25"/>
    <row r="425" s="221" customFormat="1" x14ac:dyDescent="0.25"/>
    <row r="426" s="221" customFormat="1" x14ac:dyDescent="0.25"/>
    <row r="427" s="221" customFormat="1" x14ac:dyDescent="0.25"/>
    <row r="428" s="221" customFormat="1" x14ac:dyDescent="0.25"/>
    <row r="429" s="221" customFormat="1" x14ac:dyDescent="0.25"/>
    <row r="430" s="221" customFormat="1" x14ac:dyDescent="0.25"/>
    <row r="431" s="221" customFormat="1" x14ac:dyDescent="0.25"/>
    <row r="432" s="221" customFormat="1" x14ac:dyDescent="0.25"/>
    <row r="433" s="221" customFormat="1" x14ac:dyDescent="0.25"/>
    <row r="434" s="221" customFormat="1" x14ac:dyDescent="0.25"/>
    <row r="435" s="221" customFormat="1" x14ac:dyDescent="0.25"/>
    <row r="436" s="221" customFormat="1" x14ac:dyDescent="0.25"/>
    <row r="437" s="221" customFormat="1" x14ac:dyDescent="0.25"/>
    <row r="438" s="221" customFormat="1" x14ac:dyDescent="0.25"/>
    <row r="439" s="221" customFormat="1" x14ac:dyDescent="0.25"/>
    <row r="440" s="221" customFormat="1" x14ac:dyDescent="0.25"/>
    <row r="441" s="221" customFormat="1" x14ac:dyDescent="0.25"/>
    <row r="442" s="221" customFormat="1" x14ac:dyDescent="0.25"/>
    <row r="443" s="221" customFormat="1" x14ac:dyDescent="0.25"/>
    <row r="444" s="221" customFormat="1" x14ac:dyDescent="0.25"/>
    <row r="445" s="221" customFormat="1" x14ac:dyDescent="0.25"/>
    <row r="446" s="221" customFormat="1" x14ac:dyDescent="0.25"/>
    <row r="447" s="221" customFormat="1" x14ac:dyDescent="0.25"/>
    <row r="448" s="221" customFormat="1" x14ac:dyDescent="0.25"/>
    <row r="449" s="221" customFormat="1" x14ac:dyDescent="0.25"/>
    <row r="450" s="221" customFormat="1" x14ac:dyDescent="0.25"/>
    <row r="451" s="221" customFormat="1" x14ac:dyDescent="0.25"/>
    <row r="452" s="221" customFormat="1" x14ac:dyDescent="0.25"/>
    <row r="453" s="221" customFormat="1" x14ac:dyDescent="0.25"/>
    <row r="454" s="221" customFormat="1" x14ac:dyDescent="0.25"/>
  </sheetData>
  <sheetProtection sheet="1" formatCells="0" formatColumns="0" formatRows="0" insertColumns="0" insertRows="0" insertHyperlinks="0" deleteColumns="0" deleteRows="0" selectLockedCells="1" sort="0" autoFilter="0" pivotTables="0"/>
  <mergeCells count="13">
    <mergeCell ref="A42:D42"/>
    <mergeCell ref="A48:C48"/>
    <mergeCell ref="D50:F50"/>
    <mergeCell ref="D51:E51"/>
    <mergeCell ref="D52:E52"/>
    <mergeCell ref="A54:E54"/>
    <mergeCell ref="F54:G54"/>
    <mergeCell ref="A6:B6"/>
    <mergeCell ref="A23:B23"/>
    <mergeCell ref="A38:D38"/>
    <mergeCell ref="A39:D39"/>
    <mergeCell ref="A40:D40"/>
    <mergeCell ref="A41:D41"/>
  </mergeCells>
  <pageMargins left="0.25" right="0" top="0.25" bottom="0.25" header="0.3" footer="0.3"/>
  <pageSetup scale="98" fitToHeight="0" orientation="landscape" verticalDpi="1200" r:id="rId1"/>
  <headerFooter>
    <oddFooter>&amp;A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E155B352-9125-4AE0-85A3-FEEC02C6C430}">
            <xm:f>$D$48=FILTER_BRIDGE!#REF!</xm:f>
            <x14:dxf>
              <fill>
                <patternFill patternType="none">
                  <bgColor auto="1"/>
                </patternFill>
              </fill>
            </x14:dxf>
          </x14:cfRule>
          <xm:sqref>E47</xm:sqref>
        </x14:conditionalFormatting>
        <x14:conditionalFormatting xmlns:xm="http://schemas.microsoft.com/office/excel/2006/main">
          <x14:cfRule type="expression" priority="2" id="{3215943C-7F9A-43C5-94C8-60A0F7FE301A}">
            <xm:f>$D$48=FILTER_BRIDGE!#REF!</xm:f>
            <x14:dxf>
              <font>
                <b/>
                <i val="0"/>
                <color auto="1"/>
              </font>
              <fill>
                <patternFill patternType="none">
                  <bgColor auto="1"/>
                </patternFill>
              </fill>
            </x14:dxf>
          </x14:cfRule>
          <xm:sqref>E48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B223-F2F1-47B7-9409-133356B0106A}">
  <sheetPr codeName="Sheet10"/>
  <dimension ref="A1:O71"/>
  <sheetViews>
    <sheetView workbookViewId="0">
      <selection activeCell="C2" sqref="C2"/>
    </sheetView>
  </sheetViews>
  <sheetFormatPr defaultRowHeight="15" x14ac:dyDescent="0.25"/>
  <cols>
    <col min="1" max="1" width="16" bestFit="1" customWidth="1"/>
  </cols>
  <sheetData>
    <row r="1" spans="1:15" x14ac:dyDescent="0.25">
      <c r="A1" s="62" t="s">
        <v>41</v>
      </c>
      <c r="C1" t="s">
        <v>147</v>
      </c>
      <c r="D1" t="s">
        <v>148</v>
      </c>
      <c r="E1" t="s">
        <v>149</v>
      </c>
      <c r="O1" t="s">
        <v>153</v>
      </c>
    </row>
    <row r="2" spans="1:15" x14ac:dyDescent="0.25">
      <c r="A2" s="61" t="s">
        <v>39</v>
      </c>
      <c r="C2" t="str" cm="1">
        <f t="array" ref="C2:C27">'Step 1) Budget Summary'!A11:A36</f>
        <v>General Fund</v>
      </c>
      <c r="D2" t="str" cm="1">
        <f t="array" ref="D2:D13">'Step 1) Budget Summary'!A44:A55</f>
        <v>Water Fund</v>
      </c>
      <c r="E2" t="str" cm="1">
        <f t="array" ref="E2:E71">_xlfn.VSTACK(C2:C36,D2:D36)</f>
        <v>General Fund</v>
      </c>
      <c r="I2" t="str" cm="1">
        <f t="array" ref="I2">IFERROR(INDEX($E$2:$E$71, MATCH(0,IF($E$2:$E$71=0,1,COUNTIF($I$1:I1, $E$2:$E$71)), 0)),"")</f>
        <v>General Fund</v>
      </c>
      <c r="J2">
        <v>1</v>
      </c>
      <c r="K2" t="s">
        <v>150</v>
      </c>
      <c r="O2">
        <f>MAX(J:J)+2</f>
        <v>12</v>
      </c>
    </row>
    <row r="3" spans="1:15" x14ac:dyDescent="0.25">
      <c r="A3" s="61" t="s">
        <v>31</v>
      </c>
      <c r="C3" t="str">
        <v>Drug Fund</v>
      </c>
      <c r="D3" t="str">
        <v>Sewer Fund</v>
      </c>
      <c r="E3" t="str">
        <v>Drug Fund</v>
      </c>
      <c r="I3" t="str" cm="1">
        <f t="array" ref="I3">IFERROR(INDEX($E$2:$E$71, MATCH(0,IF($E$2:$E$71=0,1,COUNTIF($I$1:I2, $E$2:$E$71)), 0)),"")</f>
        <v>Drug Fund</v>
      </c>
      <c r="J3">
        <f>IF(I3&lt;&gt;"",J2+1,"")</f>
        <v>2</v>
      </c>
      <c r="K3" t="str">
        <f t="shared" ref="K3:K31" si="0">IF(OR(I2="", I2=0),"",I2)</f>
        <v>General Fund</v>
      </c>
      <c r="O3" t="str">
        <f>_xlfn.CONCAT(O1,"!","K",O2)</f>
        <v>FILTER_BRIDGE!K12</v>
      </c>
    </row>
    <row r="4" spans="1:15" x14ac:dyDescent="0.25">
      <c r="A4" s="61" t="s">
        <v>32</v>
      </c>
      <c r="C4" t="str">
        <v>Capital Projects</v>
      </c>
      <c r="D4" t="str">
        <v>Gas Fund</v>
      </c>
      <c r="E4" t="str">
        <v>Capital Projects</v>
      </c>
      <c r="I4" t="str" cm="1">
        <f t="array" ref="I4">IFERROR(INDEX($E$2:$E$71, MATCH(0,IF($E$2:$E$71=0,1,COUNTIF($I$1:I3, $E$2:$E$71)), 0)),"")</f>
        <v>Capital Projects</v>
      </c>
      <c r="J4">
        <f t="shared" ref="J4:J31" si="1">IF(I4&lt;&gt;"",J3+1,"")</f>
        <v>3</v>
      </c>
      <c r="K4" t="str">
        <f t="shared" si="0"/>
        <v>Drug Fund</v>
      </c>
    </row>
    <row r="5" spans="1:15" x14ac:dyDescent="0.25">
      <c r="A5" s="61" t="s">
        <v>33</v>
      </c>
      <c r="C5" t="str">
        <v>State Street Aid</v>
      </c>
      <c r="D5">
        <v>0</v>
      </c>
      <c r="E5" t="str">
        <v>State Street Aid</v>
      </c>
      <c r="I5" t="str" cm="1">
        <f t="array" ref="I5">IFERROR(INDEX($E$2:$E$71, MATCH(0,IF($E$2:$E$71=0,1,COUNTIF($I$1:I4, $E$2:$E$71)), 0)),"")</f>
        <v>State Street Aid</v>
      </c>
      <c r="J5">
        <f t="shared" si="1"/>
        <v>4</v>
      </c>
      <c r="K5" t="str">
        <f t="shared" si="0"/>
        <v>Capital Projects</v>
      </c>
    </row>
    <row r="6" spans="1:15" x14ac:dyDescent="0.25">
      <c r="A6" s="61" t="s">
        <v>34</v>
      </c>
      <c r="C6" t="str">
        <v>General Purpose School Fund</v>
      </c>
      <c r="D6">
        <v>0</v>
      </c>
      <c r="E6" t="str">
        <v>General Purpose School Fund</v>
      </c>
      <c r="I6" t="str" cm="1">
        <f t="array" ref="I6">IFERROR(INDEX($E$2:$E$71, MATCH(0,IF($E$2:$E$71=0,1,COUNTIF($I$1:I5, $E$2:$E$71)), 0)),"")</f>
        <v>General Purpose School Fund</v>
      </c>
      <c r="J6">
        <f t="shared" si="1"/>
        <v>5</v>
      </c>
      <c r="K6" t="str">
        <f t="shared" si="0"/>
        <v>State Street Aid</v>
      </c>
    </row>
    <row r="7" spans="1:15" x14ac:dyDescent="0.25">
      <c r="A7" s="61" t="s">
        <v>35</v>
      </c>
      <c r="C7" t="str">
        <v>School Federal Projects Fund</v>
      </c>
      <c r="D7">
        <v>0</v>
      </c>
      <c r="E7" t="str">
        <v>School Federal Projects Fund</v>
      </c>
      <c r="I7" t="str" cm="1">
        <f t="array" ref="I7">IFERROR(INDEX($E$2:$E$71, MATCH(0,IF($E$2:$E$71=0,1,COUNTIF($I$1:I6, $E$2:$E$71)), 0)),"")</f>
        <v>School Federal Projects Fund</v>
      </c>
      <c r="J7">
        <f t="shared" si="1"/>
        <v>6</v>
      </c>
      <c r="K7" t="str">
        <f t="shared" si="0"/>
        <v>General Purpose School Fund</v>
      </c>
    </row>
    <row r="8" spans="1:15" x14ac:dyDescent="0.25">
      <c r="C8" t="str">
        <v>School Cafeteria Fund</v>
      </c>
      <c r="D8">
        <v>0</v>
      </c>
      <c r="E8" t="str">
        <v>School Cafeteria Fund</v>
      </c>
      <c r="I8" t="str" cm="1">
        <f t="array" ref="I8">IFERROR(INDEX($E$2:$E$71, MATCH(0,IF($E$2:$E$71=0,1,COUNTIF($I$1:I7, $E$2:$E$71)), 0)),"")</f>
        <v>School Cafeteria Fund</v>
      </c>
      <c r="J8">
        <f t="shared" si="1"/>
        <v>7</v>
      </c>
      <c r="K8" t="str">
        <f t="shared" si="0"/>
        <v>School Federal Projects Fund</v>
      </c>
    </row>
    <row r="9" spans="1:15" x14ac:dyDescent="0.25">
      <c r="A9" s="166"/>
      <c r="C9">
        <v>0</v>
      </c>
      <c r="D9">
        <v>0</v>
      </c>
      <c r="E9">
        <v>0</v>
      </c>
      <c r="I9" t="str" cm="1">
        <f t="array" ref="I9">IFERROR(INDEX($E$2:$E$71, MATCH(0,IF($E$2:$E$71=0,1,COUNTIF($I$1:I8, $E$2:$E$71)), 0)),"")</f>
        <v>Water Fund</v>
      </c>
      <c r="J9">
        <f t="shared" si="1"/>
        <v>8</v>
      </c>
      <c r="K9" t="str">
        <f t="shared" si="0"/>
        <v>School Cafeteria Fund</v>
      </c>
    </row>
    <row r="10" spans="1:15" x14ac:dyDescent="0.25">
      <c r="A10" s="61"/>
      <c r="C10">
        <v>0</v>
      </c>
      <c r="D10">
        <v>0</v>
      </c>
      <c r="E10">
        <v>0</v>
      </c>
      <c r="I10" t="str" cm="1">
        <f t="array" ref="I10">IFERROR(INDEX($E$2:$E$71, MATCH(0,IF($E$2:$E$71=0,1,COUNTIF($I$1:I9, $E$2:$E$71)), 0)),"")</f>
        <v>Sewer Fund</v>
      </c>
      <c r="J10">
        <f t="shared" si="1"/>
        <v>9</v>
      </c>
      <c r="K10" t="str">
        <f t="shared" si="0"/>
        <v>Water Fund</v>
      </c>
    </row>
    <row r="11" spans="1:15" x14ac:dyDescent="0.25">
      <c r="A11" s="61"/>
      <c r="C11">
        <v>0</v>
      </c>
      <c r="D11">
        <v>0</v>
      </c>
      <c r="E11">
        <v>0</v>
      </c>
      <c r="I11" t="str" cm="1">
        <f t="array" ref="I11">IFERROR(INDEX($E$2:$E$71, MATCH(0,IF($E$2:$E$71=0,1,COUNTIF($I$1:I10, $E$2:$E$71)), 0)),"")</f>
        <v>Gas Fund</v>
      </c>
      <c r="J11">
        <f t="shared" si="1"/>
        <v>10</v>
      </c>
      <c r="K11" t="str">
        <f t="shared" si="0"/>
        <v>Sewer Fund</v>
      </c>
    </row>
    <row r="12" spans="1:15" x14ac:dyDescent="0.25">
      <c r="A12" s="61"/>
      <c r="C12">
        <v>0</v>
      </c>
      <c r="D12">
        <v>0</v>
      </c>
      <c r="E12">
        <v>0</v>
      </c>
      <c r="I12" t="str" cm="1">
        <f t="array" ref="I12">IFERROR(INDEX($E$2:$E$71, MATCH(0,IF($E$2:$E$71=0,1,COUNTIF($I$1:I11, $E$2:$E$71)), 0)),"")</f>
        <v/>
      </c>
      <c r="J12" t="str">
        <f t="shared" si="1"/>
        <v/>
      </c>
      <c r="K12" t="str">
        <f t="shared" si="0"/>
        <v>Gas Fund</v>
      </c>
    </row>
    <row r="13" spans="1:15" x14ac:dyDescent="0.25">
      <c r="C13">
        <v>0</v>
      </c>
      <c r="D13">
        <v>0</v>
      </c>
      <c r="E13">
        <v>0</v>
      </c>
      <c r="I13" t="str" cm="1">
        <f t="array" ref="I13">IFERROR(INDEX($E$2:$E$71, MATCH(0,IF($E$2:$E$71=0,1,COUNTIF($I$1:I12, $E$2:$E$71)), 0)),"")</f>
        <v/>
      </c>
      <c r="J13" t="str">
        <f t="shared" si="1"/>
        <v/>
      </c>
      <c r="K13" t="str">
        <f t="shared" si="0"/>
        <v/>
      </c>
    </row>
    <row r="14" spans="1:15" x14ac:dyDescent="0.25">
      <c r="C14">
        <v>0</v>
      </c>
      <c r="E14">
        <v>0</v>
      </c>
      <c r="I14" t="str" cm="1">
        <f t="array" ref="I14">IFERROR(INDEX($E$2:$E$71, MATCH(0,IF($E$2:$E$71=0,1,COUNTIF($I$1:I13, $E$2:$E$71)), 0)),"")</f>
        <v/>
      </c>
      <c r="J14" t="str">
        <f t="shared" si="1"/>
        <v/>
      </c>
      <c r="K14" t="str">
        <f t="shared" si="0"/>
        <v/>
      </c>
    </row>
    <row r="15" spans="1:15" x14ac:dyDescent="0.25">
      <c r="C15">
        <v>0</v>
      </c>
      <c r="E15">
        <v>0</v>
      </c>
      <c r="I15" t="str" cm="1">
        <f t="array" ref="I15">IFERROR(INDEX($E$2:$E$71, MATCH(0,IF($E$2:$E$71=0,1,COUNTIF($I$1:I14, $E$2:$E$71)), 0)),"")</f>
        <v/>
      </c>
      <c r="J15" t="str">
        <f t="shared" si="1"/>
        <v/>
      </c>
      <c r="K15" t="str">
        <f t="shared" si="0"/>
        <v/>
      </c>
    </row>
    <row r="16" spans="1:15" x14ac:dyDescent="0.25">
      <c r="C16">
        <v>0</v>
      </c>
      <c r="E16">
        <v>0</v>
      </c>
      <c r="I16" t="str" cm="1">
        <f t="array" ref="I16">IFERROR(INDEX($E$2:$E$71, MATCH(0,IF($E$2:$E$71=0,1,COUNTIF($I$1:I15, $E$2:$E$71)), 0)),"")</f>
        <v/>
      </c>
      <c r="J16" t="str">
        <f t="shared" si="1"/>
        <v/>
      </c>
      <c r="K16" t="str">
        <f t="shared" si="0"/>
        <v/>
      </c>
    </row>
    <row r="17" spans="3:11" x14ac:dyDescent="0.25">
      <c r="C17">
        <v>0</v>
      </c>
      <c r="E17">
        <v>0</v>
      </c>
      <c r="I17" t="str" cm="1">
        <f t="array" ref="I17">IFERROR(INDEX($E$2:$E$71, MATCH(0,IF($E$2:$E$71=0,1,COUNTIF($I$1:I16, $E$2:$E$71)), 0)),"")</f>
        <v/>
      </c>
      <c r="J17" t="str">
        <f t="shared" si="1"/>
        <v/>
      </c>
      <c r="K17" t="str">
        <f t="shared" si="0"/>
        <v/>
      </c>
    </row>
    <row r="18" spans="3:11" x14ac:dyDescent="0.25">
      <c r="C18">
        <v>0</v>
      </c>
      <c r="E18">
        <v>0</v>
      </c>
      <c r="I18" t="str" cm="1">
        <f t="array" ref="I18">IFERROR(INDEX($E$2:$E$71, MATCH(0,IF($E$2:$E$71=0,1,COUNTIF($I$1:I17, $E$2:$E$71)), 0)),"")</f>
        <v/>
      </c>
      <c r="J18" t="str">
        <f t="shared" si="1"/>
        <v/>
      </c>
      <c r="K18" t="str">
        <f t="shared" si="0"/>
        <v/>
      </c>
    </row>
    <row r="19" spans="3:11" x14ac:dyDescent="0.25">
      <c r="C19">
        <v>0</v>
      </c>
      <c r="E19">
        <v>0</v>
      </c>
      <c r="I19" t="str" cm="1">
        <f t="array" ref="I19">IFERROR(INDEX($E$2:$E$71, MATCH(0,IF($E$2:$E$71=0,1,COUNTIF($I$1:I18, $E$2:$E$71)), 0)),"")</f>
        <v/>
      </c>
      <c r="J19" t="str">
        <f t="shared" si="1"/>
        <v/>
      </c>
      <c r="K19" t="str">
        <f t="shared" si="0"/>
        <v/>
      </c>
    </row>
    <row r="20" spans="3:11" x14ac:dyDescent="0.25">
      <c r="C20">
        <v>0</v>
      </c>
      <c r="E20">
        <v>0</v>
      </c>
      <c r="I20" t="str" cm="1">
        <f t="array" ref="I20">IFERROR(INDEX($E$2:$E$71, MATCH(0,IF($E$2:$E$71=0,1,COUNTIF($I$1:I19, $E$2:$E$71)), 0)),"")</f>
        <v/>
      </c>
      <c r="J20" t="str">
        <f t="shared" si="1"/>
        <v/>
      </c>
      <c r="K20" t="str">
        <f t="shared" si="0"/>
        <v/>
      </c>
    </row>
    <row r="21" spans="3:11" x14ac:dyDescent="0.25">
      <c r="C21">
        <v>0</v>
      </c>
      <c r="E21">
        <v>0</v>
      </c>
      <c r="I21" t="str" cm="1">
        <f t="array" ref="I21">IFERROR(INDEX($E$2:$E$71, MATCH(0,IF($E$2:$E$71=0,1,COUNTIF($I$1:I20, $E$2:$E$71)), 0)),"")</f>
        <v/>
      </c>
      <c r="J21" t="str">
        <f t="shared" si="1"/>
        <v/>
      </c>
      <c r="K21" t="str">
        <f t="shared" si="0"/>
        <v/>
      </c>
    </row>
    <row r="22" spans="3:11" x14ac:dyDescent="0.25">
      <c r="C22">
        <v>0</v>
      </c>
      <c r="E22">
        <v>0</v>
      </c>
      <c r="I22" t="str" cm="1">
        <f t="array" ref="I22">IFERROR(INDEX($E$2:$E$71, MATCH(0,IF($E$2:$E$71=0,1,COUNTIF($I$1:I21, $E$2:$E$71)), 0)),"")</f>
        <v/>
      </c>
      <c r="J22" t="str">
        <f t="shared" si="1"/>
        <v/>
      </c>
      <c r="K22" t="str">
        <f t="shared" si="0"/>
        <v/>
      </c>
    </row>
    <row r="23" spans="3:11" x14ac:dyDescent="0.25">
      <c r="C23">
        <v>0</v>
      </c>
      <c r="E23">
        <v>0</v>
      </c>
      <c r="I23" t="str" cm="1">
        <f t="array" ref="I23">IFERROR(INDEX($E$2:$E$71, MATCH(0,IF($E$2:$E$71=0,1,COUNTIF($I$1:I22, $E$2:$E$71)), 0)),"")</f>
        <v/>
      </c>
      <c r="J23" t="str">
        <f t="shared" si="1"/>
        <v/>
      </c>
      <c r="K23" t="str">
        <f t="shared" si="0"/>
        <v/>
      </c>
    </row>
    <row r="24" spans="3:11" x14ac:dyDescent="0.25">
      <c r="C24">
        <v>0</v>
      </c>
      <c r="E24">
        <v>0</v>
      </c>
      <c r="I24" t="str" cm="1">
        <f t="array" ref="I24">IFERROR(INDEX($E$2:$E$71, MATCH(0,IF($E$2:$E$71=0,1,COUNTIF($I$1:I23, $E$2:$E$71)), 0)),"")</f>
        <v/>
      </c>
      <c r="J24" t="str">
        <f t="shared" si="1"/>
        <v/>
      </c>
      <c r="K24" t="str">
        <f t="shared" si="0"/>
        <v/>
      </c>
    </row>
    <row r="25" spans="3:11" x14ac:dyDescent="0.25">
      <c r="C25">
        <v>0</v>
      </c>
      <c r="E25">
        <v>0</v>
      </c>
      <c r="I25" t="str" cm="1">
        <f t="array" ref="I25">IFERROR(INDEX($E$2:$E$71, MATCH(0,IF($E$2:$E$71=0,1,COUNTIF($I$1:I24, $E$2:$E$71)), 0)),"")</f>
        <v/>
      </c>
      <c r="J25" t="str">
        <f t="shared" si="1"/>
        <v/>
      </c>
      <c r="K25" t="str">
        <f t="shared" si="0"/>
        <v/>
      </c>
    </row>
    <row r="26" spans="3:11" x14ac:dyDescent="0.25">
      <c r="C26">
        <v>0</v>
      </c>
      <c r="E26">
        <v>0</v>
      </c>
      <c r="I26" t="str" cm="1">
        <f t="array" ref="I26">IFERROR(INDEX($E$2:$E$71, MATCH(0,IF($E$2:$E$71=0,1,COUNTIF($I$1:I25, $E$2:$E$71)), 0)),"")</f>
        <v/>
      </c>
      <c r="J26" t="str">
        <f t="shared" si="1"/>
        <v/>
      </c>
      <c r="K26" t="str">
        <f t="shared" si="0"/>
        <v/>
      </c>
    </row>
    <row r="27" spans="3:11" x14ac:dyDescent="0.25">
      <c r="C27">
        <v>0</v>
      </c>
      <c r="E27">
        <v>0</v>
      </c>
      <c r="I27" t="str" cm="1">
        <f t="array" ref="I27">IFERROR(INDEX($E$2:$E$71, MATCH(0,IF($E$2:$E$71=0,1,COUNTIF($I$1:I26, $E$2:$E$71)), 0)),"")</f>
        <v/>
      </c>
      <c r="J27" t="str">
        <f t="shared" si="1"/>
        <v/>
      </c>
      <c r="K27" t="str">
        <f t="shared" si="0"/>
        <v/>
      </c>
    </row>
    <row r="28" spans="3:11" x14ac:dyDescent="0.25">
      <c r="E28">
        <v>0</v>
      </c>
      <c r="I28" t="str" cm="1">
        <f t="array" ref="I28">IFERROR(INDEX($E$2:$E$71, MATCH(0,IF($E$2:$E$71=0,1,COUNTIF($I$1:I27, $E$2:$E$71)), 0)),"")</f>
        <v/>
      </c>
      <c r="J28" t="str">
        <f t="shared" si="1"/>
        <v/>
      </c>
      <c r="K28" t="str">
        <f t="shared" si="0"/>
        <v/>
      </c>
    </row>
    <row r="29" spans="3:11" x14ac:dyDescent="0.25">
      <c r="E29">
        <v>0</v>
      </c>
      <c r="I29" t="str" cm="1">
        <f t="array" ref="I29">IFERROR(INDEX($E$2:$E$71, MATCH(0,IF($E$2:$E$71=0,1,COUNTIF($I$1:I28, $E$2:$E$71)), 0)),"")</f>
        <v/>
      </c>
      <c r="J29" t="str">
        <f t="shared" si="1"/>
        <v/>
      </c>
      <c r="K29" t="str">
        <f t="shared" si="0"/>
        <v/>
      </c>
    </row>
    <row r="30" spans="3:11" x14ac:dyDescent="0.25">
      <c r="E30">
        <v>0</v>
      </c>
      <c r="I30" t="str" cm="1">
        <f t="array" ref="I30">IFERROR(INDEX($E$2:$E$71, MATCH(0,IF($E$2:$E$71=0,1,COUNTIF($I$1:I29, $E$2:$E$71)), 0)),"")</f>
        <v/>
      </c>
      <c r="J30" t="str">
        <f t="shared" si="1"/>
        <v/>
      </c>
      <c r="K30" t="str">
        <f t="shared" si="0"/>
        <v/>
      </c>
    </row>
    <row r="31" spans="3:11" x14ac:dyDescent="0.25">
      <c r="E31">
        <v>0</v>
      </c>
      <c r="I31" t="str" cm="1">
        <f t="array" ref="I31">IFERROR(INDEX($E$2:$E$71, MATCH(0,IF($E$2:$E$71=0,1,COUNTIF($I$1:I30, $E$2:$E$71)), 0)),"")</f>
        <v/>
      </c>
      <c r="J31" t="str">
        <f t="shared" si="1"/>
        <v/>
      </c>
      <c r="K31" t="str">
        <f t="shared" si="0"/>
        <v/>
      </c>
    </row>
    <row r="32" spans="3:11" x14ac:dyDescent="0.25">
      <c r="E32">
        <v>0</v>
      </c>
      <c r="I32" t="str" cm="1">
        <f t="array" ref="I32">IFERROR(INDEX($E$2:$E$71, MATCH(0,IF($E$2:$E$71=0,1,COUNTIF($I$1:I31, $E$2:$E$71)), 0)),"")</f>
        <v/>
      </c>
      <c r="J32" t="str">
        <f t="shared" ref="J32:J71" si="2">IF(I32&lt;&gt;"",J31+1,"")</f>
        <v/>
      </c>
      <c r="K32" t="str">
        <f t="shared" ref="K32:K71" si="3">IF(OR(I31="", I31=0),"",I31)</f>
        <v/>
      </c>
    </row>
    <row r="33" spans="5:11" x14ac:dyDescent="0.25">
      <c r="E33">
        <v>0</v>
      </c>
      <c r="I33" t="str" cm="1">
        <f t="array" ref="I33">IFERROR(INDEX($E$2:$E$71, MATCH(0,IF($E$2:$E$71=0,1,COUNTIF($I$1:I32, $E$2:$E$71)), 0)),"")</f>
        <v/>
      </c>
      <c r="J33" t="str">
        <f t="shared" si="2"/>
        <v/>
      </c>
      <c r="K33" t="str">
        <f t="shared" si="3"/>
        <v/>
      </c>
    </row>
    <row r="34" spans="5:11" x14ac:dyDescent="0.25">
      <c r="E34">
        <v>0</v>
      </c>
      <c r="I34" t="str" cm="1">
        <f t="array" ref="I34">IFERROR(INDEX($E$2:$E$71, MATCH(0,IF($E$2:$E$71=0,1,COUNTIF($I$1:I33, $E$2:$E$71)), 0)),"")</f>
        <v/>
      </c>
      <c r="J34" t="str">
        <f t="shared" si="2"/>
        <v/>
      </c>
      <c r="K34" t="str">
        <f t="shared" si="3"/>
        <v/>
      </c>
    </row>
    <row r="35" spans="5:11" x14ac:dyDescent="0.25">
      <c r="E35">
        <v>0</v>
      </c>
      <c r="I35" t="str" cm="1">
        <f t="array" ref="I35">IFERROR(INDEX($E$2:$E$71, MATCH(0,IF($E$2:$E$71=0,1,COUNTIF($I$1:I34, $E$2:$E$71)), 0)),"")</f>
        <v/>
      </c>
      <c r="J35" t="str">
        <f t="shared" si="2"/>
        <v/>
      </c>
      <c r="K35" t="str">
        <f t="shared" si="3"/>
        <v/>
      </c>
    </row>
    <row r="36" spans="5:11" x14ac:dyDescent="0.25">
      <c r="E36">
        <v>0</v>
      </c>
      <c r="I36" t="str" cm="1">
        <f t="array" ref="I36">IFERROR(INDEX($E$2:$E$71, MATCH(0,IF($E$2:$E$71=0,1,COUNTIF($I$1:I35, $E$2:$E$71)), 0)),"")</f>
        <v/>
      </c>
      <c r="J36" t="str">
        <f t="shared" si="2"/>
        <v/>
      </c>
      <c r="K36" t="str">
        <f t="shared" si="3"/>
        <v/>
      </c>
    </row>
    <row r="37" spans="5:11" x14ac:dyDescent="0.25">
      <c r="E37" t="str">
        <v>Water Fund</v>
      </c>
      <c r="I37" t="str" cm="1">
        <f t="array" ref="I37">IFERROR(INDEX($E$2:$E$71, MATCH(0,IF($E$2:$E$71=0,1,COUNTIF($I$1:I36, $E$2:$E$71)), 0)),"")</f>
        <v/>
      </c>
      <c r="J37" t="str">
        <f t="shared" si="2"/>
        <v/>
      </c>
      <c r="K37" t="str">
        <f t="shared" si="3"/>
        <v/>
      </c>
    </row>
    <row r="38" spans="5:11" x14ac:dyDescent="0.25">
      <c r="E38" t="str">
        <v>Sewer Fund</v>
      </c>
      <c r="I38" t="str" cm="1">
        <f t="array" ref="I38">IFERROR(INDEX($E$2:$E$71, MATCH(0,IF($E$2:$E$71=0,1,COUNTIF($I$1:I37, $E$2:$E$71)), 0)),"")</f>
        <v/>
      </c>
      <c r="J38" t="str">
        <f t="shared" si="2"/>
        <v/>
      </c>
      <c r="K38" t="str">
        <f t="shared" si="3"/>
        <v/>
      </c>
    </row>
    <row r="39" spans="5:11" x14ac:dyDescent="0.25">
      <c r="E39" t="str">
        <v>Gas Fund</v>
      </c>
      <c r="I39" t="str" cm="1">
        <f t="array" ref="I39">IFERROR(INDEX($E$2:$E$71, MATCH(0,IF($E$2:$E$71=0,1,COUNTIF($I$1:I38, $E$2:$E$71)), 0)),"")</f>
        <v/>
      </c>
      <c r="J39" t="str">
        <f t="shared" si="2"/>
        <v/>
      </c>
      <c r="K39" t="str">
        <f t="shared" si="3"/>
        <v/>
      </c>
    </row>
    <row r="40" spans="5:11" x14ac:dyDescent="0.25">
      <c r="E40">
        <v>0</v>
      </c>
      <c r="I40" t="str" cm="1">
        <f t="array" ref="I40">IFERROR(INDEX($E$2:$E$71, MATCH(0,IF($E$2:$E$71=0,1,COUNTIF($I$1:I39, $E$2:$E$71)), 0)),"")</f>
        <v/>
      </c>
      <c r="J40" t="str">
        <f t="shared" si="2"/>
        <v/>
      </c>
      <c r="K40" t="str">
        <f t="shared" si="3"/>
        <v/>
      </c>
    </row>
    <row r="41" spans="5:11" x14ac:dyDescent="0.25">
      <c r="E41">
        <v>0</v>
      </c>
      <c r="I41" t="str" cm="1">
        <f t="array" ref="I41">IFERROR(INDEX($E$2:$E$71, MATCH(0,IF($E$2:$E$71=0,1,COUNTIF($I$1:I40, $E$2:$E$71)), 0)),"")</f>
        <v/>
      </c>
      <c r="J41" t="str">
        <f t="shared" si="2"/>
        <v/>
      </c>
      <c r="K41" t="str">
        <f t="shared" si="3"/>
        <v/>
      </c>
    </row>
    <row r="42" spans="5:11" x14ac:dyDescent="0.25">
      <c r="E42">
        <v>0</v>
      </c>
      <c r="I42" t="str" cm="1">
        <f t="array" ref="I42">IFERROR(INDEX($E$2:$E$71, MATCH(0,IF($E$2:$E$71=0,1,COUNTIF($I$1:I41, $E$2:$E$71)), 0)),"")</f>
        <v/>
      </c>
      <c r="J42" t="str">
        <f t="shared" si="2"/>
        <v/>
      </c>
      <c r="K42" t="str">
        <f t="shared" si="3"/>
        <v/>
      </c>
    </row>
    <row r="43" spans="5:11" x14ac:dyDescent="0.25">
      <c r="E43">
        <v>0</v>
      </c>
      <c r="I43" t="str" cm="1">
        <f t="array" ref="I43">IFERROR(INDEX($E$2:$E$71, MATCH(0,IF($E$2:$E$71=0,1,COUNTIF($I$1:I42, $E$2:$E$71)), 0)),"")</f>
        <v/>
      </c>
      <c r="J43" t="str">
        <f t="shared" si="2"/>
        <v/>
      </c>
      <c r="K43" t="str">
        <f t="shared" si="3"/>
        <v/>
      </c>
    </row>
    <row r="44" spans="5:11" x14ac:dyDescent="0.25">
      <c r="E44">
        <v>0</v>
      </c>
      <c r="I44" t="str" cm="1">
        <f t="array" ref="I44">IFERROR(INDEX($E$2:$E$71, MATCH(0,IF($E$2:$E$71=0,1,COUNTIF($I$1:I43, $E$2:$E$71)), 0)),"")</f>
        <v/>
      </c>
      <c r="J44" t="str">
        <f t="shared" si="2"/>
        <v/>
      </c>
      <c r="K44" t="str">
        <f t="shared" si="3"/>
        <v/>
      </c>
    </row>
    <row r="45" spans="5:11" x14ac:dyDescent="0.25">
      <c r="E45">
        <v>0</v>
      </c>
      <c r="I45" t="str" cm="1">
        <f t="array" ref="I45">IFERROR(INDEX($E$2:$E$71, MATCH(0,IF($E$2:$E$71=0,1,COUNTIF($I$1:I44, $E$2:$E$71)), 0)),"")</f>
        <v/>
      </c>
      <c r="J45" t="str">
        <f t="shared" si="2"/>
        <v/>
      </c>
      <c r="K45" t="str">
        <f t="shared" si="3"/>
        <v/>
      </c>
    </row>
    <row r="46" spans="5:11" x14ac:dyDescent="0.25">
      <c r="E46">
        <v>0</v>
      </c>
      <c r="I46" t="str" cm="1">
        <f t="array" ref="I46">IFERROR(INDEX($E$2:$E$71, MATCH(0,IF($E$2:$E$71=0,1,COUNTIF($I$1:I45, $E$2:$E$71)), 0)),"")</f>
        <v/>
      </c>
      <c r="J46" t="str">
        <f t="shared" si="2"/>
        <v/>
      </c>
      <c r="K46" t="str">
        <f t="shared" si="3"/>
        <v/>
      </c>
    </row>
    <row r="47" spans="5:11" x14ac:dyDescent="0.25">
      <c r="E47">
        <v>0</v>
      </c>
      <c r="I47" t="str" cm="1">
        <f t="array" ref="I47">IFERROR(INDEX($E$2:$E$71, MATCH(0,IF($E$2:$E$71=0,1,COUNTIF($I$1:I46, $E$2:$E$71)), 0)),"")</f>
        <v/>
      </c>
      <c r="J47" t="str">
        <f t="shared" si="2"/>
        <v/>
      </c>
      <c r="K47" t="str">
        <f t="shared" si="3"/>
        <v/>
      </c>
    </row>
    <row r="48" spans="5:11" x14ac:dyDescent="0.25">
      <c r="E48">
        <v>0</v>
      </c>
      <c r="I48" t="str" cm="1">
        <f t="array" ref="I48">IFERROR(INDEX($E$2:$E$71, MATCH(0,IF($E$2:$E$71=0,1,COUNTIF($I$1:I47, $E$2:$E$71)), 0)),"")</f>
        <v/>
      </c>
      <c r="J48" t="str">
        <f t="shared" si="2"/>
        <v/>
      </c>
      <c r="K48" t="str">
        <f t="shared" si="3"/>
        <v/>
      </c>
    </row>
    <row r="49" spans="5:11" x14ac:dyDescent="0.25">
      <c r="E49">
        <v>0</v>
      </c>
      <c r="I49" t="str" cm="1">
        <f t="array" ref="I49">IFERROR(INDEX($E$2:$E$71, MATCH(0,IF($E$2:$E$71=0,1,COUNTIF($I$1:I48, $E$2:$E$71)), 0)),"")</f>
        <v/>
      </c>
      <c r="J49" t="str">
        <f t="shared" si="2"/>
        <v/>
      </c>
      <c r="K49" t="str">
        <f t="shared" si="3"/>
        <v/>
      </c>
    </row>
    <row r="50" spans="5:11" x14ac:dyDescent="0.25">
      <c r="E50">
        <v>0</v>
      </c>
      <c r="I50" t="str" cm="1">
        <f t="array" ref="I50">IFERROR(INDEX($E$2:$E$71, MATCH(0,IF($E$2:$E$71=0,1,COUNTIF($I$1:I49, $E$2:$E$71)), 0)),"")</f>
        <v/>
      </c>
      <c r="J50" t="str">
        <f t="shared" si="2"/>
        <v/>
      </c>
      <c r="K50" t="str">
        <f t="shared" si="3"/>
        <v/>
      </c>
    </row>
    <row r="51" spans="5:11" x14ac:dyDescent="0.25">
      <c r="E51">
        <v>0</v>
      </c>
      <c r="I51" t="str" cm="1">
        <f t="array" ref="I51">IFERROR(INDEX($E$2:$E$71, MATCH(0,IF($E$2:$E$71=0,1,COUNTIF($I$1:I50, $E$2:$E$71)), 0)),"")</f>
        <v/>
      </c>
      <c r="J51" t="str">
        <f t="shared" si="2"/>
        <v/>
      </c>
      <c r="K51" t="str">
        <f t="shared" si="3"/>
        <v/>
      </c>
    </row>
    <row r="52" spans="5:11" x14ac:dyDescent="0.25">
      <c r="E52">
        <v>0</v>
      </c>
      <c r="I52" t="str" cm="1">
        <f t="array" ref="I52">IFERROR(INDEX($E$2:$E$71, MATCH(0,IF($E$2:$E$71=0,1,COUNTIF($I$1:I51, $E$2:$E$71)), 0)),"")</f>
        <v/>
      </c>
      <c r="J52" t="str">
        <f t="shared" si="2"/>
        <v/>
      </c>
      <c r="K52" t="str">
        <f t="shared" si="3"/>
        <v/>
      </c>
    </row>
    <row r="53" spans="5:11" x14ac:dyDescent="0.25">
      <c r="E53">
        <v>0</v>
      </c>
      <c r="I53" t="str" cm="1">
        <f t="array" ref="I53">IFERROR(INDEX($E$2:$E$71, MATCH(0,IF($E$2:$E$71=0,1,COUNTIF($I$1:I52, $E$2:$E$71)), 0)),"")</f>
        <v/>
      </c>
      <c r="J53" t="str">
        <f t="shared" si="2"/>
        <v/>
      </c>
      <c r="K53" t="str">
        <f t="shared" si="3"/>
        <v/>
      </c>
    </row>
    <row r="54" spans="5:11" x14ac:dyDescent="0.25">
      <c r="E54">
        <v>0</v>
      </c>
      <c r="I54" t="str" cm="1">
        <f t="array" ref="I54">IFERROR(INDEX($E$2:$E$71, MATCH(0,IF($E$2:$E$71=0,1,COUNTIF($I$1:I53, $E$2:$E$71)), 0)),"")</f>
        <v/>
      </c>
      <c r="J54" t="str">
        <f t="shared" si="2"/>
        <v/>
      </c>
      <c r="K54" t="str">
        <f t="shared" si="3"/>
        <v/>
      </c>
    </row>
    <row r="55" spans="5:11" x14ac:dyDescent="0.25">
      <c r="E55">
        <v>0</v>
      </c>
      <c r="I55" t="str" cm="1">
        <f t="array" ref="I55">IFERROR(INDEX($E$2:$E$71, MATCH(0,IF($E$2:$E$71=0,1,COUNTIF($I$1:I54, $E$2:$E$71)), 0)),"")</f>
        <v/>
      </c>
      <c r="J55" t="str">
        <f t="shared" si="2"/>
        <v/>
      </c>
      <c r="K55" t="str">
        <f t="shared" si="3"/>
        <v/>
      </c>
    </row>
    <row r="56" spans="5:11" x14ac:dyDescent="0.25">
      <c r="E56">
        <v>0</v>
      </c>
      <c r="I56" t="str" cm="1">
        <f t="array" ref="I56">IFERROR(INDEX($E$2:$E$71, MATCH(0,IF($E$2:$E$71=0,1,COUNTIF($I$1:I55, $E$2:$E$71)), 0)),"")</f>
        <v/>
      </c>
      <c r="J56" t="str">
        <f t="shared" si="2"/>
        <v/>
      </c>
      <c r="K56" t="str">
        <f t="shared" si="3"/>
        <v/>
      </c>
    </row>
    <row r="57" spans="5:11" x14ac:dyDescent="0.25">
      <c r="E57">
        <v>0</v>
      </c>
      <c r="I57" t="str" cm="1">
        <f t="array" ref="I57">IFERROR(INDEX($E$2:$E$71, MATCH(0,IF($E$2:$E$71=0,1,COUNTIF($I$1:I56, $E$2:$E$71)), 0)),"")</f>
        <v/>
      </c>
      <c r="J57" t="str">
        <f t="shared" si="2"/>
        <v/>
      </c>
      <c r="K57" t="str">
        <f t="shared" si="3"/>
        <v/>
      </c>
    </row>
    <row r="58" spans="5:11" x14ac:dyDescent="0.25">
      <c r="E58">
        <v>0</v>
      </c>
      <c r="I58" t="str" cm="1">
        <f t="array" ref="I58">IFERROR(INDEX($E$2:$E$71, MATCH(0,IF($E$2:$E$71=0,1,COUNTIF($I$1:I57, $E$2:$E$71)), 0)),"")</f>
        <v/>
      </c>
      <c r="J58" t="str">
        <f t="shared" si="2"/>
        <v/>
      </c>
      <c r="K58" t="str">
        <f t="shared" si="3"/>
        <v/>
      </c>
    </row>
    <row r="59" spans="5:11" x14ac:dyDescent="0.25">
      <c r="E59">
        <v>0</v>
      </c>
      <c r="I59" t="str" cm="1">
        <f t="array" ref="I59">IFERROR(INDEX($E$2:$E$71, MATCH(0,IF($E$2:$E$71=0,1,COUNTIF($I$1:I58, $E$2:$E$71)), 0)),"")</f>
        <v/>
      </c>
      <c r="J59" t="str">
        <f t="shared" si="2"/>
        <v/>
      </c>
      <c r="K59" t="str">
        <f t="shared" si="3"/>
        <v/>
      </c>
    </row>
    <row r="60" spans="5:11" x14ac:dyDescent="0.25">
      <c r="E60">
        <v>0</v>
      </c>
      <c r="I60" t="str" cm="1">
        <f t="array" ref="I60">IFERROR(INDEX($E$2:$E$71, MATCH(0,IF($E$2:$E$71=0,1,COUNTIF($I$1:I59, $E$2:$E$71)), 0)),"")</f>
        <v/>
      </c>
      <c r="J60" t="str">
        <f t="shared" si="2"/>
        <v/>
      </c>
      <c r="K60" t="str">
        <f t="shared" si="3"/>
        <v/>
      </c>
    </row>
    <row r="61" spans="5:11" x14ac:dyDescent="0.25">
      <c r="E61">
        <v>0</v>
      </c>
      <c r="I61" t="str" cm="1">
        <f t="array" ref="I61">IFERROR(INDEX($E$2:$E$71, MATCH(0,IF($E$2:$E$71=0,1,COUNTIF($I$1:I60, $E$2:$E$71)), 0)),"")</f>
        <v/>
      </c>
      <c r="J61" t="str">
        <f t="shared" si="2"/>
        <v/>
      </c>
      <c r="K61" t="str">
        <f t="shared" si="3"/>
        <v/>
      </c>
    </row>
    <row r="62" spans="5:11" x14ac:dyDescent="0.25">
      <c r="E62">
        <v>0</v>
      </c>
      <c r="I62" t="str" cm="1">
        <f t="array" ref="I62">IFERROR(INDEX($E$2:$E$71, MATCH(0,IF($E$2:$E$71=0,1,COUNTIF($I$1:I61, $E$2:$E$71)), 0)),"")</f>
        <v/>
      </c>
      <c r="J62" t="str">
        <f t="shared" si="2"/>
        <v/>
      </c>
      <c r="K62" t="str">
        <f t="shared" si="3"/>
        <v/>
      </c>
    </row>
    <row r="63" spans="5:11" x14ac:dyDescent="0.25">
      <c r="E63">
        <v>0</v>
      </c>
      <c r="I63" t="str" cm="1">
        <f t="array" ref="I63">IFERROR(INDEX($E$2:$E$71, MATCH(0,IF($E$2:$E$71=0,1,COUNTIF($I$1:I62, $E$2:$E$71)), 0)),"")</f>
        <v/>
      </c>
      <c r="J63" t="str">
        <f t="shared" si="2"/>
        <v/>
      </c>
      <c r="K63" t="str">
        <f t="shared" si="3"/>
        <v/>
      </c>
    </row>
    <row r="64" spans="5:11" x14ac:dyDescent="0.25">
      <c r="E64">
        <v>0</v>
      </c>
      <c r="I64" t="str" cm="1">
        <f t="array" ref="I64">IFERROR(INDEX($E$2:$E$71, MATCH(0,IF($E$2:$E$71=0,1,COUNTIF($I$1:I63, $E$2:$E$71)), 0)),"")</f>
        <v/>
      </c>
      <c r="J64" t="str">
        <f t="shared" si="2"/>
        <v/>
      </c>
      <c r="K64" t="str">
        <f t="shared" si="3"/>
        <v/>
      </c>
    </row>
    <row r="65" spans="5:11" x14ac:dyDescent="0.25">
      <c r="E65">
        <v>0</v>
      </c>
      <c r="I65" t="str" cm="1">
        <f t="array" ref="I65">IFERROR(INDEX($E$2:$E$71, MATCH(0,IF($E$2:$E$71=0,1,COUNTIF($I$1:I64, $E$2:$E$71)), 0)),"")</f>
        <v/>
      </c>
      <c r="J65" t="str">
        <f t="shared" si="2"/>
        <v/>
      </c>
      <c r="K65" t="str">
        <f t="shared" si="3"/>
        <v/>
      </c>
    </row>
    <row r="66" spans="5:11" x14ac:dyDescent="0.25">
      <c r="E66">
        <v>0</v>
      </c>
      <c r="I66" t="str" cm="1">
        <f t="array" ref="I66">IFERROR(INDEX($E$2:$E$71, MATCH(0,IF($E$2:$E$71=0,1,COUNTIF($I$1:I65, $E$2:$E$71)), 0)),"")</f>
        <v/>
      </c>
      <c r="J66" t="str">
        <f t="shared" si="2"/>
        <v/>
      </c>
      <c r="K66" t="str">
        <f t="shared" si="3"/>
        <v/>
      </c>
    </row>
    <row r="67" spans="5:11" x14ac:dyDescent="0.25">
      <c r="E67">
        <v>0</v>
      </c>
      <c r="I67" t="str" cm="1">
        <f t="array" ref="I67">IFERROR(INDEX($E$2:$E$71, MATCH(0,IF($E$2:$E$71=0,1,COUNTIF($I$1:I66, $E$2:$E$71)), 0)),"")</f>
        <v/>
      </c>
      <c r="J67" t="str">
        <f t="shared" si="2"/>
        <v/>
      </c>
      <c r="K67" t="str">
        <f t="shared" si="3"/>
        <v/>
      </c>
    </row>
    <row r="68" spans="5:11" x14ac:dyDescent="0.25">
      <c r="E68">
        <v>0</v>
      </c>
      <c r="I68" t="str" cm="1">
        <f t="array" ref="I68">IFERROR(INDEX($E$2:$E$71, MATCH(0,IF($E$2:$E$71=0,1,COUNTIF($I$1:I67, $E$2:$E$71)), 0)),"")</f>
        <v/>
      </c>
      <c r="J68" t="str">
        <f t="shared" si="2"/>
        <v/>
      </c>
      <c r="K68" t="str">
        <f t="shared" si="3"/>
        <v/>
      </c>
    </row>
    <row r="69" spans="5:11" x14ac:dyDescent="0.25">
      <c r="E69">
        <v>0</v>
      </c>
      <c r="I69" t="str" cm="1">
        <f t="array" ref="I69">IFERROR(INDEX($E$2:$E$71, MATCH(0,IF($E$2:$E$71=0,1,COUNTIF($I$1:I68, $E$2:$E$71)), 0)),"")</f>
        <v/>
      </c>
      <c r="J69" t="str">
        <f t="shared" si="2"/>
        <v/>
      </c>
      <c r="K69" t="str">
        <f t="shared" si="3"/>
        <v/>
      </c>
    </row>
    <row r="70" spans="5:11" x14ac:dyDescent="0.25">
      <c r="E70">
        <v>0</v>
      </c>
      <c r="I70" t="str" cm="1">
        <f t="array" ref="I70">IFERROR(INDEX($E$2:$E$71, MATCH(0,IF($E$2:$E$71=0,1,COUNTIF($I$1:I69, $E$2:$E$71)), 0)),"")</f>
        <v/>
      </c>
      <c r="J70" t="str">
        <f t="shared" si="2"/>
        <v/>
      </c>
      <c r="K70" t="str">
        <f t="shared" si="3"/>
        <v/>
      </c>
    </row>
    <row r="71" spans="5:11" x14ac:dyDescent="0.25">
      <c r="E71">
        <v>0</v>
      </c>
      <c r="I71" t="str" cm="1">
        <f t="array" ref="I71">IFERROR(INDEX($E$2:$E$71, MATCH(0,IF($E$2:$E$71=0,1,COUNTIF($I$1:I70, $E$2:$E$71)), 0)),"")</f>
        <v/>
      </c>
      <c r="J71" t="str">
        <f t="shared" si="2"/>
        <v/>
      </c>
      <c r="K71" t="str">
        <f t="shared" si="3"/>
        <v/>
      </c>
    </row>
  </sheetData>
  <pageMargins left="0.7" right="0.7" top="0.75" bottom="0.75" header="0.3" footer="0.3"/>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Step 1) Budget Summary</vt:lpstr>
      <vt:lpstr>Step 2) Debt Service</vt:lpstr>
      <vt:lpstr>Step 3) Cash Flow Tool</vt:lpstr>
      <vt:lpstr>Step 4) Cash Flow Printable</vt:lpstr>
      <vt:lpstr>Estimator | Property Tax</vt:lpstr>
      <vt:lpstr>Estimator | Sales Tax</vt:lpstr>
      <vt:lpstr>Estimator | City State Shared</vt:lpstr>
      <vt:lpstr>Estimator | Other Revenue</vt:lpstr>
      <vt:lpstr>FILTER_BRIDGE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Tschida</dc:creator>
  <cp:lastModifiedBy>Adam Tschida</cp:lastModifiedBy>
  <cp:lastPrinted>2025-02-07T20:13:48Z</cp:lastPrinted>
  <dcterms:created xsi:type="dcterms:W3CDTF">2023-12-12T17:40:08Z</dcterms:created>
  <dcterms:modified xsi:type="dcterms:W3CDTF">2025-02-07T20:22:01Z</dcterms:modified>
</cp:coreProperties>
</file>